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ropbox\Mortgage Sandbox\15 Data\"/>
    </mc:Choice>
  </mc:AlternateContent>
  <xr:revisionPtr revIDLastSave="0" documentId="13_ncr:1_{0C442F78-C661-44A4-BCA6-EE5379C55815}" xr6:coauthVersionLast="36" xr6:coauthVersionMax="36" xr10:uidLastSave="{00000000-0000-0000-0000-000000000000}"/>
  <bookViews>
    <workbookView xWindow="0" yWindow="0" windowWidth="19200" windowHeight="6960" xr2:uid="{00000000-000D-0000-FFFF-FFFF00000000}"/>
  </bookViews>
  <sheets>
    <sheet name="Unmet Demand Forecast" sheetId="1" r:id="rId1"/>
    <sheet name="Population Growth Analysis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9" i="1" l="1"/>
  <c r="R166" i="1" l="1"/>
  <c r="R167" i="1"/>
  <c r="R165" i="1"/>
  <c r="D167" i="1"/>
  <c r="D151" i="1"/>
  <c r="D110" i="1"/>
  <c r="D111" i="1"/>
  <c r="E61" i="1"/>
  <c r="D100" i="1" s="1"/>
  <c r="T123" i="1"/>
  <c r="U123" i="1"/>
  <c r="V123" i="1"/>
  <c r="W123" i="1"/>
  <c r="S123" i="1"/>
  <c r="S121" i="1" s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W72" i="1"/>
  <c r="V72" i="1"/>
  <c r="U72" i="1"/>
  <c r="T72" i="1"/>
  <c r="S72" i="1"/>
  <c r="S70" i="1" s="1"/>
  <c r="R72" i="1"/>
  <c r="R70" i="1" s="1"/>
  <c r="Q72" i="1"/>
  <c r="P72" i="1"/>
  <c r="O72" i="1"/>
  <c r="N72" i="1"/>
  <c r="M72" i="1"/>
  <c r="M70" i="1" s="1"/>
  <c r="L72" i="1"/>
  <c r="K72" i="1"/>
  <c r="J72" i="1"/>
  <c r="I72" i="1"/>
  <c r="H72" i="1"/>
  <c r="H70" i="1" s="1"/>
  <c r="G71" i="1" s="1"/>
  <c r="G72" i="1"/>
  <c r="F72" i="1"/>
  <c r="E72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5" i="1"/>
  <c r="S7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V64" i="1"/>
  <c r="U64" i="1"/>
  <c r="T64" i="1"/>
  <c r="X63" i="1"/>
  <c r="AC35" i="1"/>
  <c r="R14" i="2"/>
  <c r="R13" i="2"/>
  <c r="R12" i="2"/>
  <c r="R11" i="2"/>
  <c r="R10" i="2"/>
  <c r="R9" i="2"/>
  <c r="Q14" i="2"/>
  <c r="Q10" i="2"/>
  <c r="Q11" i="2"/>
  <c r="Q12" i="2"/>
  <c r="Q13" i="2"/>
  <c r="Q9" i="2"/>
  <c r="H35" i="2"/>
  <c r="H34" i="2"/>
  <c r="H31" i="2"/>
  <c r="E10" i="1"/>
  <c r="D9" i="1" s="1"/>
  <c r="G70" i="1" l="1"/>
  <c r="D60" i="1"/>
  <c r="E68" i="1"/>
  <c r="I68" i="1"/>
  <c r="M68" i="1"/>
  <c r="Q68" i="1"/>
  <c r="D49" i="1"/>
  <c r="D8" i="1"/>
  <c r="W64" i="1"/>
  <c r="D59" i="1"/>
  <c r="D166" i="1" s="1"/>
  <c r="S74" i="1"/>
  <c r="M74" i="1"/>
  <c r="M79" i="1" s="1"/>
  <c r="F68" i="1"/>
  <c r="J68" i="1"/>
  <c r="N68" i="1"/>
  <c r="R68" i="1"/>
  <c r="G68" i="1"/>
  <c r="K68" i="1"/>
  <c r="O68" i="1"/>
  <c r="H68" i="1"/>
  <c r="L68" i="1"/>
  <c r="P68" i="1"/>
  <c r="R74" i="1"/>
  <c r="R83" i="1" s="1"/>
  <c r="S83" i="1" s="1"/>
  <c r="Q71" i="1"/>
  <c r="Q70" i="1" s="1"/>
  <c r="Q74" i="1" s="1"/>
  <c r="G74" i="1"/>
  <c r="G79" i="1" s="1"/>
  <c r="L71" i="1"/>
  <c r="L70" i="1" s="1"/>
  <c r="L74" i="1" s="1"/>
  <c r="L79" i="1" s="1"/>
  <c r="H74" i="1"/>
  <c r="S68" i="1"/>
  <c r="X64" i="1"/>
  <c r="T65" i="1"/>
  <c r="T66" i="1"/>
  <c r="S71" i="1"/>
  <c r="T70" i="1" s="1"/>
  <c r="U65" i="1"/>
  <c r="U66" i="1"/>
  <c r="W65" i="1"/>
  <c r="W66" i="1"/>
  <c r="V65" i="1"/>
  <c r="V66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R123" i="1"/>
  <c r="Q123" i="1"/>
  <c r="P123" i="1"/>
  <c r="O123" i="1"/>
  <c r="N123" i="1"/>
  <c r="M123" i="1"/>
  <c r="M121" i="1" s="1"/>
  <c r="L123" i="1"/>
  <c r="K123" i="1"/>
  <c r="J123" i="1"/>
  <c r="I123" i="1"/>
  <c r="H123" i="1"/>
  <c r="G123" i="1"/>
  <c r="F123" i="1"/>
  <c r="E123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S116" i="1"/>
  <c r="S127" i="1" s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V115" i="1"/>
  <c r="U115" i="1"/>
  <c r="T115" i="1"/>
  <c r="X114" i="1"/>
  <c r="M21" i="1"/>
  <c r="T21" i="1"/>
  <c r="U21" i="1"/>
  <c r="V21" i="1"/>
  <c r="W21" i="1"/>
  <c r="S21" i="1"/>
  <c r="S19" i="1" s="1"/>
  <c r="O21" i="1"/>
  <c r="P21" i="1"/>
  <c r="Q21" i="1"/>
  <c r="R21" i="1"/>
  <c r="R19" i="1" s="1"/>
  <c r="N21" i="1"/>
  <c r="F44" i="2"/>
  <c r="H43" i="2"/>
  <c r="G47" i="2"/>
  <c r="G45" i="2"/>
  <c r="G43" i="2"/>
  <c r="G58" i="2"/>
  <c r="G56" i="2"/>
  <c r="G54" i="2"/>
  <c r="D51" i="2"/>
  <c r="D40" i="2"/>
  <c r="H21" i="1"/>
  <c r="J21" i="1"/>
  <c r="K21" i="1"/>
  <c r="L21" i="1"/>
  <c r="I21" i="1"/>
  <c r="F21" i="1"/>
  <c r="G21" i="1"/>
  <c r="E21" i="1"/>
  <c r="H26" i="2"/>
  <c r="H18" i="2"/>
  <c r="G28" i="2"/>
  <c r="H28" i="2" s="1"/>
  <c r="G26" i="2"/>
  <c r="G24" i="2"/>
  <c r="H24" i="2" s="1"/>
  <c r="G22" i="2"/>
  <c r="H22" i="2" s="1"/>
  <c r="G20" i="2"/>
  <c r="H20" i="2" s="1"/>
  <c r="G18" i="2"/>
  <c r="G16" i="2"/>
  <c r="H16" i="2" s="1"/>
  <c r="G14" i="2"/>
  <c r="H14" i="2" s="1"/>
  <c r="G12" i="2"/>
  <c r="H12" i="2" s="1"/>
  <c r="H121" i="1" l="1"/>
  <c r="H125" i="1" s="1"/>
  <c r="S79" i="1"/>
  <c r="Q79" i="1"/>
  <c r="H19" i="1"/>
  <c r="G20" i="1" s="1"/>
  <c r="M19" i="1"/>
  <c r="L20" i="1" s="1"/>
  <c r="L19" i="1" s="1"/>
  <c r="R121" i="1"/>
  <c r="R125" i="1" s="1"/>
  <c r="R134" i="1" s="1"/>
  <c r="W68" i="1"/>
  <c r="T68" i="1"/>
  <c r="R79" i="1"/>
  <c r="W115" i="1"/>
  <c r="W116" i="1" s="1"/>
  <c r="U68" i="1"/>
  <c r="X66" i="1"/>
  <c r="V68" i="1"/>
  <c r="H79" i="1"/>
  <c r="F71" i="1"/>
  <c r="X65" i="1"/>
  <c r="K71" i="1"/>
  <c r="K70" i="1" s="1"/>
  <c r="T74" i="1"/>
  <c r="T83" i="1" s="1"/>
  <c r="T76" i="1"/>
  <c r="U76" i="1" s="1"/>
  <c r="V76" i="1" s="1"/>
  <c r="W76" i="1" s="1"/>
  <c r="P71" i="1"/>
  <c r="P70" i="1" s="1"/>
  <c r="N119" i="1"/>
  <c r="F119" i="1"/>
  <c r="J119" i="1"/>
  <c r="R119" i="1"/>
  <c r="H119" i="1"/>
  <c r="L119" i="1"/>
  <c r="P119" i="1"/>
  <c r="G119" i="1"/>
  <c r="K119" i="1"/>
  <c r="O119" i="1"/>
  <c r="S119" i="1"/>
  <c r="E119" i="1"/>
  <c r="I119" i="1"/>
  <c r="M119" i="1"/>
  <c r="Q119" i="1"/>
  <c r="L122" i="1"/>
  <c r="L121" i="1" s="1"/>
  <c r="M125" i="1"/>
  <c r="G122" i="1"/>
  <c r="X115" i="1"/>
  <c r="T116" i="1"/>
  <c r="T127" i="1" s="1"/>
  <c r="T117" i="1"/>
  <c r="U116" i="1"/>
  <c r="U117" i="1"/>
  <c r="V116" i="1"/>
  <c r="V117" i="1"/>
  <c r="H32" i="2"/>
  <c r="H54" i="2"/>
  <c r="Q122" i="1" l="1"/>
  <c r="Q121" i="1" s="1"/>
  <c r="Q125" i="1" s="1"/>
  <c r="Q130" i="1" s="1"/>
  <c r="G19" i="1"/>
  <c r="F20" i="1"/>
  <c r="F19" i="1" s="1"/>
  <c r="R130" i="1"/>
  <c r="H130" i="1"/>
  <c r="X68" i="1"/>
  <c r="F70" i="1"/>
  <c r="E71" i="1" s="1"/>
  <c r="E70" i="1" s="1"/>
  <c r="E74" i="1" s="1"/>
  <c r="K122" i="1"/>
  <c r="K121" i="1" s="1"/>
  <c r="G121" i="1"/>
  <c r="G125" i="1" s="1"/>
  <c r="G130" i="1" s="1"/>
  <c r="W117" i="1"/>
  <c r="W119" i="1" s="1"/>
  <c r="T71" i="1"/>
  <c r="T79" i="1"/>
  <c r="P74" i="1"/>
  <c r="P79" i="1" s="1"/>
  <c r="K74" i="1"/>
  <c r="K79" i="1" s="1"/>
  <c r="M130" i="1"/>
  <c r="U127" i="1"/>
  <c r="V127" i="1" s="1"/>
  <c r="W127" i="1" s="1"/>
  <c r="X117" i="1"/>
  <c r="V119" i="1"/>
  <c r="X116" i="1"/>
  <c r="U119" i="1"/>
  <c r="T119" i="1"/>
  <c r="H56" i="2"/>
  <c r="H58" i="2"/>
  <c r="T13" i="1"/>
  <c r="P122" i="1" l="1"/>
  <c r="P121" i="1" s="1"/>
  <c r="U70" i="1"/>
  <c r="U74" i="1" s="1"/>
  <c r="U83" i="1" s="1"/>
  <c r="F74" i="1"/>
  <c r="F79" i="1" s="1"/>
  <c r="L125" i="1"/>
  <c r="L130" i="1" s="1"/>
  <c r="F122" i="1"/>
  <c r="F121" i="1" s="1"/>
  <c r="F125" i="1" s="1"/>
  <c r="F130" i="1" s="1"/>
  <c r="V128" i="1"/>
  <c r="V77" i="1"/>
  <c r="U77" i="1"/>
  <c r="W77" i="1"/>
  <c r="U128" i="1"/>
  <c r="O71" i="1"/>
  <c r="O70" i="1" s="1"/>
  <c r="J71" i="1"/>
  <c r="J70" i="1" s="1"/>
  <c r="E79" i="1"/>
  <c r="W128" i="1"/>
  <c r="X119" i="1"/>
  <c r="K125" i="1"/>
  <c r="K130" i="1" s="1"/>
  <c r="P125" i="1"/>
  <c r="P130" i="1" s="1"/>
  <c r="U13" i="1"/>
  <c r="V13" i="1"/>
  <c r="X12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S14" i="1"/>
  <c r="S25" i="1" s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U79" i="1" l="1"/>
  <c r="U71" i="1"/>
  <c r="V70" i="1" s="1"/>
  <c r="V74" i="1" s="1"/>
  <c r="V79" i="1" s="1"/>
  <c r="E122" i="1"/>
  <c r="W13" i="1"/>
  <c r="W15" i="1" s="1"/>
  <c r="J74" i="1"/>
  <c r="J79" i="1" s="1"/>
  <c r="O74" i="1"/>
  <c r="O79" i="1" s="1"/>
  <c r="E81" i="1"/>
  <c r="J17" i="1"/>
  <c r="R17" i="1"/>
  <c r="F17" i="1"/>
  <c r="N17" i="1"/>
  <c r="O122" i="1"/>
  <c r="O121" i="1" s="1"/>
  <c r="J122" i="1"/>
  <c r="J121" i="1" s="1"/>
  <c r="H47" i="2"/>
  <c r="F55" i="2"/>
  <c r="H45" i="2"/>
  <c r="S23" i="1"/>
  <c r="G17" i="1"/>
  <c r="S17" i="1"/>
  <c r="K17" i="1"/>
  <c r="O17" i="1"/>
  <c r="P17" i="1"/>
  <c r="H17" i="1"/>
  <c r="L17" i="1"/>
  <c r="E17" i="1"/>
  <c r="I17" i="1"/>
  <c r="M17" i="1"/>
  <c r="Q17" i="1"/>
  <c r="W14" i="1"/>
  <c r="U14" i="1"/>
  <c r="U15" i="1"/>
  <c r="V14" i="1"/>
  <c r="V15" i="1"/>
  <c r="X13" i="1"/>
  <c r="T14" i="1"/>
  <c r="T25" i="1" s="1"/>
  <c r="T15" i="1"/>
  <c r="F81" i="1" l="1"/>
  <c r="O125" i="1"/>
  <c r="O130" i="1" s="1"/>
  <c r="E121" i="1"/>
  <c r="E125" i="1" s="1"/>
  <c r="E130" i="1" s="1"/>
  <c r="E132" i="1" s="1"/>
  <c r="N71" i="1"/>
  <c r="U25" i="1"/>
  <c r="V25" i="1" s="1"/>
  <c r="V71" i="1"/>
  <c r="V83" i="1"/>
  <c r="I71" i="1"/>
  <c r="I70" i="1" s="1"/>
  <c r="W25" i="1"/>
  <c r="W26" i="1" s="1"/>
  <c r="W17" i="1"/>
  <c r="S28" i="1"/>
  <c r="J125" i="1"/>
  <c r="J130" i="1" s="1"/>
  <c r="I122" i="1"/>
  <c r="I121" i="1" s="1"/>
  <c r="N122" i="1"/>
  <c r="N121" i="1" s="1"/>
  <c r="H23" i="1"/>
  <c r="H28" i="1" s="1"/>
  <c r="F46" i="2"/>
  <c r="F57" i="2"/>
  <c r="X15" i="1"/>
  <c r="V17" i="1"/>
  <c r="U17" i="1"/>
  <c r="X14" i="1"/>
  <c r="T17" i="1"/>
  <c r="G81" i="1" l="1"/>
  <c r="U26" i="1"/>
  <c r="W70" i="1"/>
  <c r="W74" i="1" s="1"/>
  <c r="N70" i="1"/>
  <c r="N74" i="1" s="1"/>
  <c r="N79" i="1" s="1"/>
  <c r="I125" i="1"/>
  <c r="I130" i="1" s="1"/>
  <c r="I74" i="1"/>
  <c r="F132" i="1"/>
  <c r="V26" i="1"/>
  <c r="G23" i="1"/>
  <c r="G28" i="1" s="1"/>
  <c r="F59" i="2"/>
  <c r="F48" i="2"/>
  <c r="X17" i="1"/>
  <c r="H81" i="1" l="1"/>
  <c r="X70" i="1"/>
  <c r="W79" i="1"/>
  <c r="W83" i="1"/>
  <c r="W71" i="1"/>
  <c r="N125" i="1"/>
  <c r="N130" i="1" s="1"/>
  <c r="I79" i="1"/>
  <c r="X74" i="1"/>
  <c r="G132" i="1"/>
  <c r="H196" i="1"/>
  <c r="H197" i="1" s="1"/>
  <c r="G197" i="1"/>
  <c r="F197" i="1"/>
  <c r="E201" i="1"/>
  <c r="D165" i="1"/>
  <c r="F203" i="1" l="1"/>
  <c r="F199" i="1" s="1"/>
  <c r="X79" i="1"/>
  <c r="I81" i="1"/>
  <c r="H132" i="1"/>
  <c r="G203" i="1"/>
  <c r="G199" i="1" s="1"/>
  <c r="H203" i="1"/>
  <c r="H200" i="1" s="1"/>
  <c r="F200" i="1"/>
  <c r="F201" i="1" s="1"/>
  <c r="J81" i="1" l="1"/>
  <c r="I132" i="1"/>
  <c r="G200" i="1"/>
  <c r="G201" i="1" s="1"/>
  <c r="H199" i="1"/>
  <c r="H201" i="1" s="1"/>
  <c r="K81" i="1" l="1"/>
  <c r="J132" i="1"/>
  <c r="L81" i="1" l="1"/>
  <c r="K132" i="1"/>
  <c r="M81" i="1" l="1"/>
  <c r="L132" i="1"/>
  <c r="N81" i="1" l="1"/>
  <c r="M132" i="1"/>
  <c r="O81" i="1" l="1"/>
  <c r="N132" i="1"/>
  <c r="E20" i="1"/>
  <c r="E19" i="1" s="1"/>
  <c r="F23" i="1"/>
  <c r="F28" i="1" s="1"/>
  <c r="P81" i="1" l="1"/>
  <c r="O132" i="1"/>
  <c r="E23" i="1"/>
  <c r="E28" i="1" s="1"/>
  <c r="Q81" i="1" l="1"/>
  <c r="P132" i="1"/>
  <c r="E30" i="1"/>
  <c r="Q84" i="1" l="1"/>
  <c r="R81" i="1"/>
  <c r="F30" i="1"/>
  <c r="E164" i="1"/>
  <c r="Q132" i="1"/>
  <c r="M23" i="1"/>
  <c r="M28" i="1" s="1"/>
  <c r="R84" i="1" l="1"/>
  <c r="S81" i="1"/>
  <c r="Q135" i="1"/>
  <c r="R132" i="1"/>
  <c r="G30" i="1"/>
  <c r="F164" i="1"/>
  <c r="S166" i="1" l="1"/>
  <c r="S84" i="1"/>
  <c r="T81" i="1"/>
  <c r="H30" i="1"/>
  <c r="H164" i="1" s="1"/>
  <c r="G164" i="1"/>
  <c r="R135" i="1"/>
  <c r="L23" i="1"/>
  <c r="L28" i="1" s="1"/>
  <c r="K20" i="1"/>
  <c r="K19" i="1" s="1"/>
  <c r="Q20" i="1"/>
  <c r="Q19" i="1" s="1"/>
  <c r="S20" i="1"/>
  <c r="T19" i="1" s="1"/>
  <c r="T166" i="1" l="1"/>
  <c r="T84" i="1"/>
  <c r="U81" i="1"/>
  <c r="T23" i="1"/>
  <c r="T28" i="1" s="1"/>
  <c r="Q23" i="1"/>
  <c r="Q28" i="1" s="1"/>
  <c r="R23" i="1"/>
  <c r="R32" i="1" s="1"/>
  <c r="U166" i="1" l="1"/>
  <c r="V81" i="1"/>
  <c r="U84" i="1"/>
  <c r="T20" i="1"/>
  <c r="U19" i="1" s="1"/>
  <c r="S32" i="1"/>
  <c r="T32" i="1" s="1"/>
  <c r="R28" i="1"/>
  <c r="P20" i="1"/>
  <c r="P19" i="1" s="1"/>
  <c r="V166" i="1" l="1"/>
  <c r="V84" i="1"/>
  <c r="W81" i="1"/>
  <c r="U23" i="1"/>
  <c r="P23" i="1"/>
  <c r="P28" i="1" s="1"/>
  <c r="W84" i="1" l="1"/>
  <c r="W166" i="1"/>
  <c r="U28" i="1"/>
  <c r="U32" i="1"/>
  <c r="U20" i="1"/>
  <c r="O20" i="1"/>
  <c r="O19" i="1" s="1"/>
  <c r="V19" i="1" l="1"/>
  <c r="V20" i="1" s="1"/>
  <c r="W19" i="1" s="1"/>
  <c r="W23" i="1" s="1"/>
  <c r="W28" i="1" s="1"/>
  <c r="O23" i="1"/>
  <c r="O28" i="1" s="1"/>
  <c r="V23" i="1" l="1"/>
  <c r="V32" i="1" s="1"/>
  <c r="W32" i="1" s="1"/>
  <c r="V28" i="1"/>
  <c r="W20" i="1"/>
  <c r="N20" i="1"/>
  <c r="N19" i="1" s="1"/>
  <c r="N23" i="1" l="1"/>
  <c r="N28" i="1" l="1"/>
  <c r="K23" i="1"/>
  <c r="K28" i="1" s="1"/>
  <c r="J20" i="1" l="1"/>
  <c r="J19" i="1" s="1"/>
  <c r="J23" i="1" l="1"/>
  <c r="J28" i="1" s="1"/>
  <c r="I20" i="1" l="1"/>
  <c r="I19" i="1" s="1"/>
  <c r="I23" i="1" l="1"/>
  <c r="X19" i="1"/>
  <c r="X23" i="1" l="1"/>
  <c r="I28" i="1"/>
  <c r="X28" i="1" l="1"/>
  <c r="I30" i="1"/>
  <c r="J30" i="1" l="1"/>
  <c r="I164" i="1"/>
  <c r="K30" i="1" l="1"/>
  <c r="J164" i="1"/>
  <c r="L30" i="1" l="1"/>
  <c r="K164" i="1"/>
  <c r="M30" i="1" l="1"/>
  <c r="L164" i="1"/>
  <c r="N30" i="1" l="1"/>
  <c r="M164" i="1"/>
  <c r="O30" i="1" l="1"/>
  <c r="N164" i="1"/>
  <c r="P30" i="1" l="1"/>
  <c r="O164" i="1"/>
  <c r="Q30" i="1" l="1"/>
  <c r="P164" i="1"/>
  <c r="Q164" i="1" l="1"/>
  <c r="R30" i="1"/>
  <c r="Q33" i="1"/>
  <c r="R164" i="1" l="1"/>
  <c r="S30" i="1"/>
  <c r="R33" i="1"/>
  <c r="S165" i="1" l="1"/>
  <c r="S33" i="1"/>
  <c r="T30" i="1"/>
  <c r="T165" i="1" l="1"/>
  <c r="T33" i="1"/>
  <c r="U30" i="1"/>
  <c r="U165" i="1" l="1"/>
  <c r="V30" i="1"/>
  <c r="U33" i="1"/>
  <c r="V165" i="1" l="1"/>
  <c r="W30" i="1"/>
  <c r="V33" i="1"/>
  <c r="W33" i="1" l="1"/>
  <c r="W165" i="1"/>
  <c r="S122" i="1"/>
  <c r="S125" i="1"/>
  <c r="S134" i="1" s="1"/>
  <c r="T121" i="1" l="1"/>
  <c r="S130" i="1"/>
  <c r="T125" i="1" l="1"/>
  <c r="T122" i="1"/>
  <c r="U121" i="1" s="1"/>
  <c r="U125" i="1"/>
  <c r="U122" i="1"/>
  <c r="V121" i="1" s="1"/>
  <c r="S132" i="1"/>
  <c r="S167" i="1" s="1"/>
  <c r="T134" i="1" l="1"/>
  <c r="T130" i="1"/>
  <c r="U130" i="1"/>
  <c r="U134" i="1"/>
  <c r="V122" i="1"/>
  <c r="W121" i="1" s="1"/>
  <c r="Y121" i="1" s="1"/>
  <c r="D159" i="1" s="1"/>
  <c r="T132" i="1"/>
  <c r="T167" i="1" s="1"/>
  <c r="S135" i="1"/>
  <c r="W125" i="1" l="1"/>
  <c r="W130" i="1" s="1"/>
  <c r="V125" i="1"/>
  <c r="V134" i="1" s="1"/>
  <c r="W134" i="1" s="1"/>
  <c r="X121" i="1"/>
  <c r="U132" i="1"/>
  <c r="U167" i="1" s="1"/>
  <c r="T135" i="1"/>
  <c r="V130" i="1" l="1"/>
  <c r="X130" i="1" s="1"/>
  <c r="X125" i="1"/>
  <c r="U135" i="1"/>
  <c r="W122" i="1"/>
  <c r="V132" i="1" l="1"/>
  <c r="V135" i="1"/>
  <c r="W132" i="1" l="1"/>
  <c r="W167" i="1" s="1"/>
  <c r="V167" i="1"/>
  <c r="W135" i="1"/>
</calcChain>
</file>

<file path=xl/sharedStrings.xml><?xml version="1.0" encoding="utf-8"?>
<sst xmlns="http://schemas.openxmlformats.org/spreadsheetml/2006/main" count="277" uniqueCount="89">
  <si>
    <t>Housing Starts</t>
  </si>
  <si>
    <t>Average</t>
  </si>
  <si>
    <t>New Residents</t>
  </si>
  <si>
    <t>Surplus (Shortfall)</t>
  </si>
  <si>
    <t>Net New Homes</t>
  </si>
  <si>
    <t>Housing Completions</t>
  </si>
  <si>
    <t>2018F</t>
  </si>
  <si>
    <t>2019F</t>
  </si>
  <si>
    <t>2020F</t>
  </si>
  <si>
    <t>Total Metro Vancouver Households</t>
  </si>
  <si>
    <t>Link</t>
  </si>
  <si>
    <t>Source: Statistics Canada</t>
  </si>
  <si>
    <t>.</t>
  </si>
  <si>
    <t>Source: Mortgage Sandbox Analysis</t>
  </si>
  <si>
    <t>Source: CMHC Housing Now – Local Housing Market Data</t>
  </si>
  <si>
    <t>Required Homes (Avg. 2.5 Residents per Household)</t>
  </si>
  <si>
    <t>Shortage</t>
  </si>
  <si>
    <t>Sources/Assumptions:</t>
  </si>
  <si>
    <t>Add allowance for homes torn down (@20% of new units)</t>
  </si>
  <si>
    <t>14.3% of Metro Vancouver new homes built are replacing units torn down to make room for the new build.</t>
  </si>
  <si>
    <t>Source: Metro Vancouver / Statistics Canada</t>
  </si>
  <si>
    <t>Subtract homes torn down to build new homes (@14.3% of new units)</t>
  </si>
  <si>
    <t>Cumulative Unmet Demand (Housing Units)</t>
  </si>
  <si>
    <t>Additional Homes Required to reach 3% vacancy rate in 2020</t>
  </si>
  <si>
    <t>D. Summary</t>
  </si>
  <si>
    <t>Source: Metro Vancouver Housing Book</t>
  </si>
  <si>
    <t>Mortgage Sandbox Assumption</t>
  </si>
  <si>
    <t>Source: Jens VonBergmann Analysis (MountainMath, CANSIM 026-0021)</t>
  </si>
  <si>
    <t>High Growth Scenario</t>
  </si>
  <si>
    <t>Likely Growth Scenario</t>
  </si>
  <si>
    <t>Low Growth Scenario</t>
  </si>
  <si>
    <t>Low Growth Scenario uses 5-year average population growth from Census data. 2011-2016 growth rate.</t>
  </si>
  <si>
    <t>1,2,3</t>
  </si>
  <si>
    <t>Allowances</t>
  </si>
  <si>
    <t>Total allowances</t>
  </si>
  <si>
    <t>F. Future Steady State Annual Required Supply</t>
  </si>
  <si>
    <t>Rounded up to nearest one hundred units.</t>
  </si>
  <si>
    <t>Number of Homes</t>
  </si>
  <si>
    <t>By David Stroud, Founder of Mortgage Sandbox</t>
  </si>
  <si>
    <t>Required New Homes (Avg. 2.5 Residents per Household)</t>
  </si>
  <si>
    <t>Add allowance for 10% underutilized (snowbirds / recreational / short term rental)</t>
  </si>
  <si>
    <t>Source: City of Vancouver / Housing Strategy</t>
  </si>
  <si>
    <t>Likely Growth Scenario Metro Vancouver and City of Vancouver approximate population growth forecast.</t>
  </si>
  <si>
    <t>High Growth Scenario adds a 10% buffer or contingency to the most likely growth scenario.</t>
  </si>
  <si>
    <t>Future Minimum Required Annual Housing Completions</t>
  </si>
  <si>
    <t>2021F</t>
  </si>
  <si>
    <t>Total Metro Vancouver Population</t>
  </si>
  <si>
    <t>Growth Rate</t>
  </si>
  <si>
    <t>Mortgage Sandbox Analysis</t>
  </si>
  <si>
    <t>Total Metro Vancouver dwelling units with no vacancy rate</t>
  </si>
  <si>
    <t>Year</t>
  </si>
  <si>
    <t>Population</t>
  </si>
  <si>
    <t>Annualized Growth Rate</t>
  </si>
  <si>
    <t>Source:</t>
  </si>
  <si>
    <t>Metro Vancouver Regional Growth Strategy</t>
  </si>
  <si>
    <t>Population Growth Analysis</t>
  </si>
  <si>
    <t>Years between Population Count</t>
  </si>
  <si>
    <t>Statistics Canada</t>
  </si>
  <si>
    <t>The average Metro Vancouver population growth rate from 2001 to 2016 was</t>
  </si>
  <si>
    <t>F</t>
  </si>
  <si>
    <t>Forecast</t>
  </si>
  <si>
    <t>1,2</t>
  </si>
  <si>
    <t>3,4</t>
  </si>
  <si>
    <t>Source: CMHC Preliminary Housing Start Data</t>
  </si>
  <si>
    <t>Forecast housing completions from 2018 to 2020 are the average of housing starts from 2 prior years prior because it takes 24-36 months to complete construction. Forecast housing completions for 2021 is the average of housing completions from the 3 prior years.</t>
  </si>
  <si>
    <t>Metro Vancouver 2016 Census Bulletin</t>
  </si>
  <si>
    <t>A. Lower Growth</t>
  </si>
  <si>
    <t>Alternate Population Growth Forcasts</t>
  </si>
  <si>
    <t>B. Lower Growth</t>
  </si>
  <si>
    <t>The average Metro Vancouver population growth rate from 1981 to 2016 was</t>
  </si>
  <si>
    <t>Lowest Annualized Growth Rate between 1981 and 2016</t>
  </si>
  <si>
    <t>Highest Annualized Growth Rate between 1981 and 2016</t>
  </si>
  <si>
    <t>Historic Annual Growth Rate from 2001 to 2016</t>
  </si>
  <si>
    <t>Historic Annual Growth Rate from 1981 to 2016</t>
  </si>
  <si>
    <t>Annual Growth Rate</t>
  </si>
  <si>
    <t>Additional Homes Required to maintain a 3% vacancy rate when appro</t>
  </si>
  <si>
    <r>
      <t>Surplus</t>
    </r>
    <r>
      <rPr>
        <b/>
        <i/>
        <sz val="11"/>
        <color rgb="FFFF0000"/>
        <rFont val="Arial"/>
        <family val="2"/>
      </rPr>
      <t xml:space="preserve"> (Shortage)</t>
    </r>
    <r>
      <rPr>
        <b/>
        <i/>
        <sz val="11"/>
        <rFont val="Arial"/>
        <family val="2"/>
      </rPr>
      <t>:</t>
    </r>
  </si>
  <si>
    <t>It is assumed a higher percentage (10%) of new construction will be bought to be underutilized than reported by City of Vancouver because anecdotal evidence suggests new construction has a higher % underutilized than the 5.95% empty homes observed with total existing housing stock.</t>
  </si>
  <si>
    <t>To achieve 3% vacancy rate Metro Vancouver will need to add 3% of total 2017 Rental Housing Stock, approximately 13,700 distributed over 3 years.</t>
  </si>
  <si>
    <t>5.95% of existing housing stock is underutilized, it is assumed a higher percentage (10%) of new construction will be bought to be underutilized.</t>
  </si>
  <si>
    <t>Metro Vancouver had 348,700 renter-occupied households in 2016.</t>
  </si>
  <si>
    <t>Housing Starts in Metro Vancouver, 2001-2017.</t>
  </si>
  <si>
    <t>Housing Starts in Metro Vancouver, 2018.</t>
  </si>
  <si>
    <t>Housing completions in Metro Vancouver, 2003-2017.</t>
  </si>
  <si>
    <t>See Population Growth Analysis.</t>
  </si>
  <si>
    <t>Average household size is 2.5 in Vancouver CMA.</t>
  </si>
  <si>
    <t>10% to be empty (speculator / snowbirds / recreational)</t>
  </si>
  <si>
    <t>Historic Met (Unmet) Demand</t>
  </si>
  <si>
    <t>Metro Vancouver is a federation of 21 municipalities, one Electoral Area and one Treaty First Nation that collaboratively plans for and delivers regional-scale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</si>
</sst>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_ ;\(#,##0\ \)"/>
    <numFmt numFmtId="166" formatCode="0.0%;[Red]\(0.0%\)"/>
    <numFmt numFmtId="167" formatCode="0.0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 Black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i/>
      <sz val="11"/>
      <color theme="1"/>
      <name val="Arial"/>
      <family val="2"/>
    </font>
    <font>
      <i/>
      <sz val="9"/>
      <color theme="1"/>
      <name val="Arial"/>
      <family val="2"/>
    </font>
    <font>
      <sz val="11"/>
      <color theme="1"/>
      <name val="DIN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u/>
      <sz val="9"/>
      <color theme="10"/>
      <name val="Arial"/>
      <family val="2"/>
    </font>
    <font>
      <sz val="11"/>
      <color theme="0"/>
      <name val="Calibri"/>
      <family val="2"/>
      <scheme val="minor"/>
    </font>
    <font>
      <b/>
      <i/>
      <sz val="11"/>
      <color rgb="FFFF0000"/>
      <name val="Arial"/>
      <family val="2"/>
    </font>
    <font>
      <b/>
      <i/>
      <sz val="11"/>
      <name val="Arial"/>
      <family val="2"/>
    </font>
    <font>
      <b/>
      <sz val="10"/>
      <color rgb="FF00CD00"/>
      <name val="Arial"/>
      <family val="2"/>
    </font>
    <font>
      <b/>
      <sz val="10"/>
      <color rgb="FF007FFF"/>
      <name val="Arial"/>
      <family val="2"/>
    </font>
    <font>
      <b/>
      <sz val="10"/>
      <color rgb="FFFE5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5">
    <xf numFmtId="0" fontId="0" fillId="0" borderId="0" xfId="0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3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1" applyNumberFormat="1" applyFont="1" applyFill="1" applyBorder="1"/>
    <xf numFmtId="164" fontId="5" fillId="2" borderId="1" xfId="1" applyNumberFormat="1" applyFont="1" applyFill="1" applyBorder="1"/>
    <xf numFmtId="0" fontId="5" fillId="2" borderId="1" xfId="0" applyFont="1" applyFill="1" applyBorder="1"/>
    <xf numFmtId="3" fontId="3" fillId="2" borderId="1" xfId="0" applyNumberFormat="1" applyFont="1" applyFill="1" applyBorder="1"/>
    <xf numFmtId="0" fontId="6" fillId="2" borderId="1" xfId="0" applyFont="1" applyFill="1" applyBorder="1"/>
    <xf numFmtId="164" fontId="5" fillId="2" borderId="1" xfId="0" applyNumberFormat="1" applyFont="1" applyFill="1" applyBorder="1"/>
    <xf numFmtId="0" fontId="8" fillId="2" borderId="0" xfId="0" applyFont="1" applyFill="1"/>
    <xf numFmtId="0" fontId="0" fillId="2" borderId="0" xfId="0" applyFill="1" applyAlignment="1">
      <alignment vertical="top"/>
    </xf>
    <xf numFmtId="0" fontId="9" fillId="2" borderId="0" xfId="3" applyFill="1" applyAlignment="1">
      <alignment vertical="top"/>
    </xf>
    <xf numFmtId="165" fontId="3" fillId="2" borderId="1" xfId="0" applyNumberFormat="1" applyFont="1" applyFill="1" applyBorder="1"/>
    <xf numFmtId="0" fontId="10" fillId="2" borderId="0" xfId="0" applyFont="1" applyFill="1"/>
    <xf numFmtId="0" fontId="5" fillId="3" borderId="1" xfId="0" applyFont="1" applyFill="1" applyBorder="1" applyAlignment="1">
      <alignment horizontal="center" wrapText="1"/>
    </xf>
    <xf numFmtId="49" fontId="11" fillId="2" borderId="1" xfId="1" applyNumberFormat="1" applyFont="1" applyFill="1" applyBorder="1"/>
    <xf numFmtId="0" fontId="5" fillId="3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3" xfId="0" applyFont="1" applyFill="1" applyBorder="1" applyAlignment="1">
      <alignment horizontal="right"/>
    </xf>
    <xf numFmtId="3" fontId="2" fillId="4" borderId="3" xfId="0" applyNumberFormat="1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12" fillId="4" borderId="6" xfId="0" applyFont="1" applyFill="1" applyBorder="1"/>
    <xf numFmtId="166" fontId="12" fillId="4" borderId="6" xfId="2" applyNumberFormat="1" applyFont="1" applyFill="1" applyBorder="1"/>
    <xf numFmtId="0" fontId="2" fillId="4" borderId="7" xfId="0" applyFont="1" applyFill="1" applyBorder="1"/>
    <xf numFmtId="0" fontId="0" fillId="2" borderId="0" xfId="0" applyFill="1" applyAlignment="1">
      <alignment horizontal="right"/>
    </xf>
    <xf numFmtId="165" fontId="3" fillId="2" borderId="1" xfId="1" applyNumberFormat="1" applyFont="1" applyFill="1" applyBorder="1"/>
    <xf numFmtId="0" fontId="3" fillId="2" borderId="0" xfId="0" applyFont="1" applyFill="1"/>
    <xf numFmtId="9" fontId="3" fillId="2" borderId="1" xfId="2" applyFont="1" applyFill="1" applyBorder="1"/>
    <xf numFmtId="43" fontId="3" fillId="2" borderId="1" xfId="1" applyFont="1" applyFill="1" applyBorder="1"/>
    <xf numFmtId="0" fontId="7" fillId="2" borderId="0" xfId="0" applyFont="1" applyFill="1" applyAlignment="1">
      <alignment horizontal="right"/>
    </xf>
    <xf numFmtId="165" fontId="5" fillId="2" borderId="1" xfId="1" applyNumberFormat="1" applyFont="1" applyFill="1" applyBorder="1"/>
    <xf numFmtId="0" fontId="9" fillId="2" borderId="0" xfId="3" applyFill="1"/>
    <xf numFmtId="0" fontId="0" fillId="2" borderId="0" xfId="0" applyFont="1" applyFill="1" applyAlignment="1">
      <alignment horizontal="left" indent="1"/>
    </xf>
    <xf numFmtId="0" fontId="14" fillId="2" borderId="0" xfId="0" applyFont="1" applyFill="1"/>
    <xf numFmtId="0" fontId="5" fillId="3" borderId="8" xfId="0" applyFont="1" applyFill="1" applyBorder="1"/>
    <xf numFmtId="0" fontId="5" fillId="2" borderId="0" xfId="0" applyFont="1" applyFill="1"/>
    <xf numFmtId="0" fontId="5" fillId="2" borderId="10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left"/>
    </xf>
    <xf numFmtId="164" fontId="3" fillId="2" borderId="8" xfId="1" applyNumberFormat="1" applyFont="1" applyFill="1" applyBorder="1"/>
    <xf numFmtId="0" fontId="3" fillId="2" borderId="1" xfId="0" applyFont="1" applyFill="1" applyBorder="1" applyAlignment="1">
      <alignment horizontal="center"/>
    </xf>
    <xf numFmtId="0" fontId="15" fillId="2" borderId="0" xfId="3" applyFont="1" applyFill="1"/>
    <xf numFmtId="0" fontId="5" fillId="3" borderId="10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left"/>
    </xf>
    <xf numFmtId="164" fontId="15" fillId="3" borderId="1" xfId="3" applyNumberFormat="1" applyFont="1" applyFill="1" applyBorder="1"/>
    <xf numFmtId="0" fontId="3" fillId="3" borderId="1" xfId="0" applyFont="1" applyFill="1" applyBorder="1" applyAlignment="1">
      <alignment horizontal="center"/>
    </xf>
    <xf numFmtId="164" fontId="3" fillId="3" borderId="1" xfId="1" applyNumberFormat="1" applyFont="1" applyFill="1" applyBorder="1"/>
    <xf numFmtId="0" fontId="10" fillId="2" borderId="0" xfId="0" applyFont="1" applyFill="1" applyAlignment="1">
      <alignment horizontal="left" indent="1"/>
    </xf>
    <xf numFmtId="0" fontId="17" fillId="2" borderId="0" xfId="3" applyFont="1" applyFill="1"/>
    <xf numFmtId="167" fontId="5" fillId="2" borderId="1" xfId="0" applyNumberFormat="1" applyFont="1" applyFill="1" applyBorder="1" applyAlignment="1">
      <alignment horizontal="center"/>
    </xf>
    <xf numFmtId="167" fontId="3" fillId="2" borderId="1" xfId="2" applyNumberFormat="1" applyFont="1" applyFill="1" applyBorder="1" applyAlignment="1">
      <alignment horizontal="center"/>
    </xf>
    <xf numFmtId="167" fontId="3" fillId="3" borderId="1" xfId="2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167" fontId="0" fillId="2" borderId="0" xfId="0" applyNumberFormat="1" applyFill="1"/>
    <xf numFmtId="167" fontId="5" fillId="3" borderId="1" xfId="0" applyNumberFormat="1" applyFont="1" applyFill="1" applyBorder="1" applyAlignment="1">
      <alignment horizontal="center"/>
    </xf>
    <xf numFmtId="167" fontId="3" fillId="0" borderId="1" xfId="0" applyNumberFormat="1" applyFont="1" applyBorder="1"/>
    <xf numFmtId="167" fontId="3" fillId="2" borderId="1" xfId="0" applyNumberFormat="1" applyFont="1" applyFill="1" applyBorder="1" applyAlignment="1">
      <alignment horizontal="center"/>
    </xf>
    <xf numFmtId="167" fontId="13" fillId="2" borderId="1" xfId="2" applyNumberFormat="1" applyFont="1" applyFill="1" applyBorder="1"/>
    <xf numFmtId="167" fontId="5" fillId="2" borderId="1" xfId="1" applyNumberFormat="1" applyFont="1" applyFill="1" applyBorder="1"/>
    <xf numFmtId="164" fontId="3" fillId="5" borderId="1" xfId="1" applyNumberFormat="1" applyFont="1" applyFill="1" applyBorder="1"/>
    <xf numFmtId="165" fontId="3" fillId="5" borderId="1" xfId="0" applyNumberFormat="1" applyFont="1" applyFill="1" applyBorder="1"/>
    <xf numFmtId="0" fontId="3" fillId="5" borderId="1" xfId="0" applyFont="1" applyFill="1" applyBorder="1"/>
    <xf numFmtId="164" fontId="5" fillId="5" borderId="1" xfId="0" applyNumberFormat="1" applyFont="1" applyFill="1" applyBorder="1"/>
    <xf numFmtId="3" fontId="3" fillId="5" borderId="1" xfId="0" applyNumberFormat="1" applyFont="1" applyFill="1" applyBorder="1"/>
    <xf numFmtId="167" fontId="13" fillId="5" borderId="1" xfId="2" applyNumberFormat="1" applyFont="1" applyFill="1" applyBorder="1"/>
    <xf numFmtId="165" fontId="3" fillId="5" borderId="1" xfId="1" applyNumberFormat="1" applyFont="1" applyFill="1" applyBorder="1"/>
    <xf numFmtId="49" fontId="11" fillId="5" borderId="1" xfId="1" applyNumberFormat="1" applyFont="1" applyFill="1" applyBorder="1"/>
    <xf numFmtId="0" fontId="12" fillId="4" borderId="6" xfId="0" applyFont="1" applyFill="1" applyBorder="1" applyAlignment="1">
      <alignment horizontal="right"/>
    </xf>
    <xf numFmtId="0" fontId="0" fillId="2" borderId="0" xfId="0" applyFill="1" applyBorder="1" applyAlignment="1">
      <alignment vertical="top"/>
    </xf>
    <xf numFmtId="0" fontId="0" fillId="2" borderId="0" xfId="0" applyFill="1" applyBorder="1"/>
    <xf numFmtId="3" fontId="0" fillId="2" borderId="0" xfId="0" applyNumberFormat="1" applyFill="1" applyBorder="1"/>
    <xf numFmtId="0" fontId="9" fillId="2" borderId="0" xfId="3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9" fillId="0" borderId="0" xfId="3" applyFill="1" applyBorder="1" applyAlignment="1">
      <alignment horizontal="center" vertical="top"/>
    </xf>
    <xf numFmtId="0" fontId="0" fillId="2" borderId="0" xfId="0" applyFill="1" applyBorder="1" applyAlignment="1">
      <alignment horizontal="left" vertical="top" wrapText="1"/>
    </xf>
    <xf numFmtId="167" fontId="0" fillId="2" borderId="0" xfId="2" applyNumberFormat="1" applyFont="1" applyFill="1" applyAlignment="1">
      <alignment horizontal="left"/>
    </xf>
    <xf numFmtId="0" fontId="9" fillId="2" borderId="0" xfId="3" applyFill="1" applyAlignment="1">
      <alignment horizontal="left" indent="1"/>
    </xf>
    <xf numFmtId="0" fontId="8" fillId="2" borderId="0" xfId="0" applyFont="1" applyFill="1" applyAlignment="1">
      <alignment vertical="top"/>
    </xf>
    <xf numFmtId="164" fontId="18" fillId="2" borderId="0" xfId="1" applyNumberFormat="1" applyFont="1" applyFill="1" applyAlignment="1">
      <alignment vertical="top"/>
    </xf>
    <xf numFmtId="0" fontId="21" fillId="2" borderId="1" xfId="0" applyFont="1" applyFill="1" applyBorder="1"/>
    <xf numFmtId="0" fontId="22" fillId="2" borderId="1" xfId="0" applyFont="1" applyFill="1" applyBorder="1"/>
    <xf numFmtId="0" fontId="23" fillId="2" borderId="1" xfId="0" applyFont="1" applyFill="1" applyBorder="1"/>
    <xf numFmtId="0" fontId="0" fillId="2" borderId="0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6" fillId="3" borderId="11" xfId="0" applyFont="1" applyFill="1" applyBorder="1" applyAlignment="1">
      <alignment horizontal="center" vertical="center" textRotation="90"/>
    </xf>
    <xf numFmtId="0" fontId="16" fillId="3" borderId="12" xfId="0" applyFont="1" applyFill="1" applyBorder="1" applyAlignment="1">
      <alignment horizontal="center" vertical="center" textRotation="90"/>
    </xf>
    <xf numFmtId="0" fontId="16" fillId="3" borderId="9" xfId="0" applyFont="1" applyFill="1" applyBorder="1" applyAlignment="1">
      <alignment horizontal="center" vertical="center" textRotation="90"/>
    </xf>
    <xf numFmtId="0" fontId="5" fillId="3" borderId="1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CD00"/>
      <color rgb="FFFE5000"/>
      <color rgb="FF007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DIN" panose="02000503040000020003" pitchFamily="2" charset="0"/>
                <a:ea typeface="+mn-ea"/>
                <a:cs typeface="+mn-cs"/>
              </a:defRPr>
            </a:pPr>
            <a:r>
              <a:rPr lang="en-CA" sz="1600" b="1">
                <a:solidFill>
                  <a:schemeClr val="tx1"/>
                </a:solidFill>
                <a:latin typeface="DIN" panose="02000503040000020003" pitchFamily="2" charset="0"/>
              </a:rPr>
              <a:t>Cumulative Unmet Demand (Housing Units)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DIN" panose="02000503040000020003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'Unmet Demand Forecast'!$D$164</c:f>
              <c:strCache>
                <c:ptCount val="1"/>
                <c:pt idx="0">
                  <c:v>Historic Met (Unmet) Demand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'Unmet Demand Forecast'!$E$163:$W$163</c:f>
              <c:strCach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2018F</c:v>
                </c:pt>
                <c:pt idx="16">
                  <c:v>2019F</c:v>
                </c:pt>
                <c:pt idx="17">
                  <c:v>2020F</c:v>
                </c:pt>
                <c:pt idx="18">
                  <c:v>2020F</c:v>
                </c:pt>
              </c:strCache>
            </c:strRef>
          </c:cat>
          <c:val>
            <c:numRef>
              <c:f>'Unmet Demand Forecast'!$E$164:$W$164</c:f>
              <c:numCache>
                <c:formatCode>#,##0_ ;\(#,##0\ \)</c:formatCode>
                <c:ptCount val="19"/>
                <c:pt idx="0">
                  <c:v>-100</c:v>
                </c:pt>
                <c:pt idx="1">
                  <c:v>400</c:v>
                </c:pt>
                <c:pt idx="2">
                  <c:v>1900</c:v>
                </c:pt>
                <c:pt idx="3">
                  <c:v>4900</c:v>
                </c:pt>
                <c:pt idx="4">
                  <c:v>3200</c:v>
                </c:pt>
                <c:pt idx="5">
                  <c:v>2300</c:v>
                </c:pt>
                <c:pt idx="6">
                  <c:v>-800</c:v>
                </c:pt>
                <c:pt idx="7">
                  <c:v>-4400</c:v>
                </c:pt>
                <c:pt idx="8">
                  <c:v>-10900</c:v>
                </c:pt>
                <c:pt idx="9">
                  <c:v>-9800</c:v>
                </c:pt>
                <c:pt idx="10">
                  <c:v>-7700</c:v>
                </c:pt>
                <c:pt idx="11">
                  <c:v>-6300</c:v>
                </c:pt>
                <c:pt idx="12">
                  <c:v>-5300</c:v>
                </c:pt>
                <c:pt idx="13">
                  <c:v>-3900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63F-4BC3-9471-2804E48EC92D}"/>
            </c:ext>
          </c:extLst>
        </c:ser>
        <c:ser>
          <c:idx val="1"/>
          <c:order val="1"/>
          <c:tx>
            <c:strRef>
              <c:f>'Unmet Demand Forecast'!$D$165</c:f>
              <c:strCache>
                <c:ptCount val="1"/>
                <c:pt idx="0">
                  <c:v>A. Lower Growth Rate - Unmet Demand Forecast (1.44% Growth Rate)</c:v>
                </c:pt>
              </c:strCache>
            </c:strRef>
          </c:tx>
          <c:spPr>
            <a:ln w="38100" cap="rnd">
              <a:solidFill>
                <a:srgbClr val="00CD00"/>
              </a:solidFill>
              <a:round/>
            </a:ln>
            <a:effectLst/>
          </c:spPr>
          <c:marker>
            <c:symbol val="none"/>
          </c:marker>
          <c:cat>
            <c:strRef>
              <c:f>'Unmet Demand Forecast'!$E$163:$W$163</c:f>
              <c:strCach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2018F</c:v>
                </c:pt>
                <c:pt idx="16">
                  <c:v>2019F</c:v>
                </c:pt>
                <c:pt idx="17">
                  <c:v>2020F</c:v>
                </c:pt>
                <c:pt idx="18">
                  <c:v>2020F</c:v>
                </c:pt>
              </c:strCache>
            </c:strRef>
          </c:cat>
          <c:val>
            <c:numRef>
              <c:f>'Unmet Demand Forecast'!$E$165:$W$165</c:f>
              <c:numCache>
                <c:formatCode>#,##0_ ;\(#,##0\ \)</c:formatCode>
                <c:ptCount val="19"/>
                <c:pt idx="13">
                  <c:v>-3900</c:v>
                </c:pt>
                <c:pt idx="14">
                  <c:v>-1600</c:v>
                </c:pt>
                <c:pt idx="15">
                  <c:v>4500</c:v>
                </c:pt>
                <c:pt idx="16">
                  <c:v>4800</c:v>
                </c:pt>
                <c:pt idx="17">
                  <c:v>4500</c:v>
                </c:pt>
                <c:pt idx="18">
                  <c:v>4600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63F-4BC3-9471-2804E48EC92D}"/>
            </c:ext>
          </c:extLst>
        </c:ser>
        <c:ser>
          <c:idx val="2"/>
          <c:order val="2"/>
          <c:tx>
            <c:strRef>
              <c:f>'Unmet Demand Forecast'!$D$166</c:f>
              <c:strCache>
                <c:ptCount val="1"/>
                <c:pt idx="0">
                  <c:v>B. Higher Growth Rate - Unmet Demand Forecast (2.15% Growth Rate)</c:v>
                </c:pt>
              </c:strCache>
            </c:strRef>
          </c:tx>
          <c:spPr>
            <a:ln w="38100" cap="rnd">
              <a:solidFill>
                <a:srgbClr val="007FFF"/>
              </a:solidFill>
              <a:round/>
            </a:ln>
            <a:effectLst/>
          </c:spPr>
          <c:marker>
            <c:symbol val="none"/>
          </c:marker>
          <c:cat>
            <c:strRef>
              <c:f>'Unmet Demand Forecast'!$E$163:$W$163</c:f>
              <c:strCach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2018F</c:v>
                </c:pt>
                <c:pt idx="16">
                  <c:v>2019F</c:v>
                </c:pt>
                <c:pt idx="17">
                  <c:v>2020F</c:v>
                </c:pt>
                <c:pt idx="18">
                  <c:v>2020F</c:v>
                </c:pt>
              </c:strCache>
            </c:strRef>
          </c:cat>
          <c:val>
            <c:numRef>
              <c:f>'Unmet Demand Forecast'!$E$166:$W$166</c:f>
              <c:numCache>
                <c:formatCode>#,##0_ ;\(#,##0\ \)</c:formatCode>
                <c:ptCount val="19"/>
                <c:pt idx="13">
                  <c:v>-3900</c:v>
                </c:pt>
                <c:pt idx="14">
                  <c:v>-8600</c:v>
                </c:pt>
                <c:pt idx="15">
                  <c:v>-9700</c:v>
                </c:pt>
                <c:pt idx="16">
                  <c:v>-17000</c:v>
                </c:pt>
                <c:pt idx="17">
                  <c:v>-25000</c:v>
                </c:pt>
                <c:pt idx="18">
                  <c:v>-33000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E0-4295-AD07-1F344BCA6993}"/>
            </c:ext>
          </c:extLst>
        </c:ser>
        <c:ser>
          <c:idx val="3"/>
          <c:order val="3"/>
          <c:tx>
            <c:strRef>
              <c:f>'Unmet Demand Forecast'!$D$167</c:f>
              <c:strCache>
                <c:ptCount val="1"/>
                <c:pt idx="0">
                  <c:v>C. Metro Vancouver Growth Rate - Unmet Demand Forecast (2.51% Growth Rate)</c:v>
                </c:pt>
              </c:strCache>
            </c:strRef>
          </c:tx>
          <c:spPr>
            <a:ln w="38100" cap="rnd">
              <a:solidFill>
                <a:srgbClr val="FE5000"/>
              </a:solidFill>
              <a:round/>
            </a:ln>
            <a:effectLst/>
          </c:spPr>
          <c:marker>
            <c:symbol val="none"/>
          </c:marker>
          <c:cat>
            <c:strRef>
              <c:f>'Unmet Demand Forecast'!$E$163:$W$163</c:f>
              <c:strCach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2018F</c:v>
                </c:pt>
                <c:pt idx="16">
                  <c:v>2019F</c:v>
                </c:pt>
                <c:pt idx="17">
                  <c:v>2020F</c:v>
                </c:pt>
                <c:pt idx="18">
                  <c:v>2020F</c:v>
                </c:pt>
              </c:strCache>
            </c:strRef>
          </c:cat>
          <c:val>
            <c:numRef>
              <c:f>'Unmet Demand Forecast'!$E$167:$W$167</c:f>
              <c:numCache>
                <c:formatCode>#,##0_ ;\(#,##0\ \)</c:formatCode>
                <c:ptCount val="19"/>
                <c:pt idx="13">
                  <c:v>-3900</c:v>
                </c:pt>
                <c:pt idx="14">
                  <c:v>-12100</c:v>
                </c:pt>
                <c:pt idx="15">
                  <c:v>-16900</c:v>
                </c:pt>
                <c:pt idx="16">
                  <c:v>-28000</c:v>
                </c:pt>
                <c:pt idx="17">
                  <c:v>-40000</c:v>
                </c:pt>
                <c:pt idx="18">
                  <c:v>-52200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E0-4295-AD07-1F344BCA6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445632"/>
        <c:axId val="430444976"/>
      </c:lineChart>
      <c:catAx>
        <c:axId val="430445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DIN" panose="02000503040000020003" pitchFamily="2" charset="0"/>
                <a:ea typeface="+mn-ea"/>
                <a:cs typeface="+mn-cs"/>
              </a:defRPr>
            </a:pPr>
            <a:endParaRPr lang="en-US"/>
          </a:p>
        </c:txPr>
        <c:crossAx val="430444976"/>
        <c:crosses val="autoZero"/>
        <c:auto val="1"/>
        <c:lblAlgn val="ctr"/>
        <c:lblOffset val="100"/>
        <c:noMultiLvlLbl val="0"/>
      </c:catAx>
      <c:valAx>
        <c:axId val="430444976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DIN" panose="02000503040000020003" pitchFamily="2" charset="0"/>
                    <a:ea typeface="+mn-ea"/>
                    <a:cs typeface="+mn-cs"/>
                  </a:defRPr>
                </a:pPr>
                <a:r>
                  <a:rPr lang="en-CA" sz="1100" b="1">
                    <a:solidFill>
                      <a:schemeClr val="tx1"/>
                    </a:solidFill>
                    <a:latin typeface="DIN" panose="02000503040000020003" pitchFamily="2" charset="0"/>
                  </a:rPr>
                  <a:t>Number of Homes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DIN" panose="02000503040000020003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 ;\(#,##0\ 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DIN" panose="02000503040000020003" pitchFamily="2" charset="0"/>
                <a:ea typeface="+mn-ea"/>
                <a:cs typeface="+mn-cs"/>
              </a:defRPr>
            </a:pPr>
            <a:endParaRPr lang="en-US"/>
          </a:p>
        </c:txPr>
        <c:crossAx val="43044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DIN" panose="02000503040000020003" pitchFamily="2" charset="0"/>
                <a:ea typeface="+mn-ea"/>
                <a:cs typeface="+mn-cs"/>
              </a:defRPr>
            </a:pPr>
            <a:r>
              <a:rPr lang="en-CA" sz="1600" b="1">
                <a:solidFill>
                  <a:sysClr val="windowText" lastClr="000000"/>
                </a:solidFill>
                <a:latin typeface="DIN" panose="02000503040000020003" pitchFamily="2" charset="0"/>
              </a:rPr>
              <a:t>Metro Vancouver Growth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DIN" panose="02000503040000020003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FFF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DIN" panose="02000503040000020003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'Population Growth Analysis'!$Q$9:$Q$14</c:f>
              <c:strCache>
                <c:ptCount val="6"/>
                <c:pt idx="0">
                  <c:v>1981 to 1991</c:v>
                </c:pt>
                <c:pt idx="1">
                  <c:v>1991 to 1996</c:v>
                </c:pt>
                <c:pt idx="2">
                  <c:v>1996 to 2001</c:v>
                </c:pt>
                <c:pt idx="3">
                  <c:v>2001 to 2006</c:v>
                </c:pt>
                <c:pt idx="4">
                  <c:v>2006 to 2011</c:v>
                </c:pt>
                <c:pt idx="5">
                  <c:v>2011 to 2016</c:v>
                </c:pt>
              </c:strCache>
            </c:strRef>
          </c:cat>
          <c:val>
            <c:numRef>
              <c:f>'Population Growth Analysis'!$R$9:$R$14</c:f>
              <c:numCache>
                <c:formatCode>0.000%</c:formatCode>
                <c:ptCount val="6"/>
                <c:pt idx="0">
                  <c:v>3.1976791195668319E-2</c:v>
                </c:pt>
                <c:pt idx="1">
                  <c:v>2.708106719622605E-2</c:v>
                </c:pt>
                <c:pt idx="2">
                  <c:v>1.6409777272678339E-2</c:v>
                </c:pt>
                <c:pt idx="3">
                  <c:v>1.2718946837372958E-2</c:v>
                </c:pt>
                <c:pt idx="4">
                  <c:v>1.7935977703644079E-2</c:v>
                </c:pt>
                <c:pt idx="5">
                  <c:v>1.2652962499257736E-2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D-4094-A00C-ACF116231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-27"/>
        <c:axId val="465879640"/>
        <c:axId val="465880952"/>
      </c:barChart>
      <c:catAx>
        <c:axId val="46587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DIN" panose="02000503040000020003" pitchFamily="2" charset="0"/>
                <a:ea typeface="+mn-ea"/>
                <a:cs typeface="+mn-cs"/>
              </a:defRPr>
            </a:pPr>
            <a:endParaRPr lang="en-US"/>
          </a:p>
        </c:txPr>
        <c:crossAx val="465880952"/>
        <c:crosses val="autoZero"/>
        <c:auto val="1"/>
        <c:lblAlgn val="ctr"/>
        <c:lblOffset val="100"/>
        <c:noMultiLvlLbl val="0"/>
      </c:catAx>
      <c:valAx>
        <c:axId val="465880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DIN" panose="02000503040000020003" pitchFamily="2" charset="0"/>
                <a:ea typeface="+mn-ea"/>
                <a:cs typeface="+mn-cs"/>
              </a:defRPr>
            </a:pPr>
            <a:endParaRPr lang="en-US"/>
          </a:p>
        </c:txPr>
        <c:crossAx val="465879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110835</xdr:colOff>
      <xdr:row>168</xdr:row>
      <xdr:rowOff>19627</xdr:rowOff>
    </xdr:from>
    <xdr:to>
      <xdr:col>4</xdr:col>
      <xdr:colOff>247360</xdr:colOff>
      <xdr:row>187</xdr:row>
      <xdr:rowOff>57727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88AE71D-18F9-4F62-BCD2-342A9C3785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53975</xdr:colOff>
      <xdr:row>0</xdr:row>
      <xdr:rowOff>133350</xdr:rowOff>
    </xdr:from>
    <xdr:to>
      <xdr:col>3</xdr:col>
      <xdr:colOff>1768475</xdr:colOff>
      <xdr:row>4</xdr:row>
      <xdr:rowOff>131167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79332B8-9C29-4C57-9F8F-2A526FA1A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133350"/>
          <a:ext cx="1714500" cy="759817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0.1769</cdr:x>
      <cdr:y>0.14027</cdr:y>
    </cdr:from>
    <cdr:to>
      <cdr:x>0.97319</cdr:x>
      <cdr:y>0.64459</cdr:y>
    </cdr:to>
    <cdr:grpSp>
      <cdr:nvGrpSpPr>
        <cdr:cNvPr id="4" name="Group 3">
          <a:extLst xmlns:a="http://schemas.openxmlformats.org/drawingml/2006/main">
            <a:ext uri="{FF2B5EF4-FFF2-40B4-BE49-F238E27FC236}">
              <a16:creationId xmlns:a16="http://schemas.microsoft.com/office/drawing/2014/main" id="{E8487BAD-84FA-476C-952E-F25ADC11B103}"/>
            </a:ext>
          </a:extLst>
        </cdr:cNvPr>
        <cdr:cNvGrpSpPr/>
      </cdr:nvGrpSpPr>
      <cdr:grpSpPr>
        <a:xfrm xmlns:a="http://schemas.openxmlformats.org/drawingml/2006/main">
          <a:off x="968850" y="496135"/>
          <a:ext cx="4361177" cy="1783736"/>
          <a:chOff x="928976" y="385396"/>
          <a:chExt cx="4402721" cy="2455278"/>
        </a:xfrm>
      </cdr:grpSpPr>
      <cdr:sp macro="" textlink="">
        <cdr:nvSpPr>
          <cdr:cNvPr id="2" name="TextBox 1">
            <a:extLst xmlns:a="http://schemas.openxmlformats.org/drawingml/2006/main">
              <a:ext uri="{FF2B5EF4-FFF2-40B4-BE49-F238E27FC236}">
                <a16:creationId xmlns:a16="http://schemas.microsoft.com/office/drawing/2014/main" id="{96C94B0A-A90E-466D-A4E3-554959BAE0B2}"/>
              </a:ext>
            </a:extLst>
          </cdr:cNvPr>
          <cdr:cNvSpPr txBox="1"/>
        </cdr:nvSpPr>
        <cdr:spPr>
          <a:xfrm xmlns:a="http://schemas.openxmlformats.org/drawingml/2006/main">
            <a:off x="928977" y="385396"/>
            <a:ext cx="4402720" cy="845290"/>
          </a:xfrm>
          <a:prstGeom xmlns:a="http://schemas.openxmlformats.org/drawingml/2006/main" prst="rect">
            <a:avLst/>
          </a:prstGeom>
          <a:gradFill xmlns:a="http://schemas.openxmlformats.org/drawingml/2006/main" flip="none" rotWithShape="1">
            <a:gsLst>
              <a:gs pos="89000">
                <a:srgbClr val="FFC000">
                  <a:alpha val="20000"/>
                </a:srgbClr>
              </a:gs>
              <a:gs pos="31000">
                <a:srgbClr val="00CD00">
                  <a:alpha val="20000"/>
                </a:srgbClr>
              </a:gs>
              <a:gs pos="69000">
                <a:srgbClr val="00CD00">
                  <a:alpha val="20000"/>
                </a:srgbClr>
              </a:gs>
              <a:gs pos="13000">
                <a:srgbClr val="FFC000">
                  <a:alpha val="20000"/>
                </a:srgbClr>
              </a:gs>
            </a:gsLst>
            <a:lin ang="16200000" scaled="1"/>
            <a:tileRect/>
          </a:gradFill>
        </cdr:spPr>
        <cdr:txBody>
          <a:bodyPr xmlns:a="http://schemas.openxmlformats.org/drawingml/2006/main" wrap="square" rtlCol="0" anchor="ctr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CA" sz="1400" b="1">
                <a:solidFill>
                  <a:sysClr val="windowText" lastClr="000000"/>
                </a:solidFill>
                <a:latin typeface="DIN" panose="02000503040000020003" pitchFamily="2" charset="0"/>
              </a:rPr>
              <a:t>Homes sitting empty</a:t>
            </a:r>
          </a:p>
        </cdr:txBody>
      </cdr:sp>
      <cdr:sp macro="" textlink="">
        <cdr:nvSpPr>
          <cdr:cNvPr id="3" name="TextBox 1">
            <a:extLst xmlns:a="http://schemas.openxmlformats.org/drawingml/2006/main">
              <a:ext uri="{FF2B5EF4-FFF2-40B4-BE49-F238E27FC236}">
                <a16:creationId xmlns:a16="http://schemas.microsoft.com/office/drawing/2014/main" id="{B29E56AA-A90E-4F25-A4BA-2D2F989C32B7}"/>
              </a:ext>
            </a:extLst>
          </cdr:cNvPr>
          <cdr:cNvSpPr txBox="1"/>
        </cdr:nvSpPr>
        <cdr:spPr>
          <a:xfrm xmlns:a="http://schemas.openxmlformats.org/drawingml/2006/main">
            <a:off x="928976" y="1231023"/>
            <a:ext cx="4402720" cy="1609651"/>
          </a:xfrm>
          <a:prstGeom xmlns:a="http://schemas.openxmlformats.org/drawingml/2006/main" prst="rect">
            <a:avLst/>
          </a:prstGeom>
          <a:gradFill xmlns:a="http://schemas.openxmlformats.org/drawingml/2006/main" flip="none" rotWithShape="1">
            <a:gsLst>
              <a:gs pos="0">
                <a:srgbClr val="C00000">
                  <a:alpha val="20000"/>
                </a:srgbClr>
              </a:gs>
              <a:gs pos="94000">
                <a:srgbClr val="FFC000">
                  <a:alpha val="20000"/>
                </a:srgbClr>
              </a:gs>
              <a:gs pos="74000">
                <a:srgbClr val="FE5000">
                  <a:alpha val="20000"/>
                </a:srgbClr>
              </a:gs>
            </a:gsLst>
            <a:lin ang="16200000" scaled="1"/>
            <a:tileRect/>
          </a:gradFill>
        </cdr:spPr>
        <cdr:txBody>
          <a:bodyPr xmlns:a="http://schemas.openxmlformats.org/drawingml/2006/main" wrap="square" rtlCol="0" anchor="ctr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CA" sz="1400" b="1">
                <a:latin typeface="DIN" panose="02000503040000020003" pitchFamily="2" charset="0"/>
              </a:rPr>
              <a:t>Households</a:t>
            </a:r>
            <a:r>
              <a:rPr lang="en-CA" sz="1400" b="1" baseline="0">
                <a:latin typeface="DIN" panose="02000503040000020003" pitchFamily="2" charset="0"/>
              </a:rPr>
              <a:t> waiting for a home</a:t>
            </a:r>
            <a:endParaRPr lang="en-CA" sz="1400" b="1">
              <a:latin typeface="DIN" panose="02000503040000020003" pitchFamily="2" charset="0"/>
            </a:endParaRP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53975</xdr:colOff>
      <xdr:row>0</xdr:row>
      <xdr:rowOff>133350</xdr:rowOff>
    </xdr:from>
    <xdr:to>
      <xdr:col>6</xdr:col>
      <xdr:colOff>273050</xdr:colOff>
      <xdr:row>4</xdr:row>
      <xdr:rowOff>131167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65B98C-97BF-4A69-BBCD-543CF1F59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025" y="133350"/>
          <a:ext cx="1714500" cy="759817"/>
        </a:xfrm>
        <a:prstGeom prst="rect">
          <a:avLst/>
        </a:prstGeom>
      </xdr:spPr>
    </xdr:pic>
    <xdr:clientData/>
  </xdr:twoCellAnchor>
  <xdr:twoCellAnchor>
    <xdr:from>
      <xdr:col>13</xdr:col>
      <xdr:colOff>238125</xdr:colOff>
      <xdr:row>3</xdr:row>
      <xdr:rowOff>23812</xdr:rowOff>
    </xdr:from>
    <xdr:to>
      <xdr:col>22</xdr:col>
      <xdr:colOff>66675</xdr:colOff>
      <xdr:row>21</xdr:row>
      <xdr:rowOff>157162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FF2F909-6530-4A76-BB2B-2342142D68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odles.mountainmath.ca/blog/2018/05/23/teardowns-and-emissions/" TargetMode="External"/><Relationship Id="rId13" Type="http://schemas.openxmlformats.org/officeDocument/2006/relationships/hyperlink" Target="http://www12.statcan.gc.ca/census-recensement/2016/dp-pd/prof/details/page.cfm?Lang=E&amp;Geo1=CMACA&amp;Code1=933&amp;Geo2=PR&amp;Code2=59&amp;Data=Count&amp;SearchText=vancouver&amp;SearchType=Begins&amp;SearchPR=01&amp;B1=All&amp;TABID=1" TargetMode="External"/><Relationship Id="rId18" Type="http://schemas.openxmlformats.org/officeDocument/2006/relationships/hyperlink" Target="http://www.metrovancouver.org/services/regional-planning/PlanningPublications/MV_Housing_Data_Book.pdf" TargetMode="External"/><Relationship Id="rId26" Type="http://schemas.openxmlformats.org/officeDocument/2006/relationships/hyperlink" Target="https://www.cmhc-schl.gc.ca/en/data-and-research/publications-and-reports/preliminary-housing-start-data" TargetMode="External"/><Relationship Id="rId3" Type="http://schemas.openxmlformats.org/officeDocument/2006/relationships/hyperlink" Target="http://vancouver.ca/news-calendar/more-than-98-per-cent-of-homeowners-declared-by-empty-homes-tax-deadline.aspx" TargetMode="External"/><Relationship Id="rId21" Type="http://schemas.openxmlformats.org/officeDocument/2006/relationships/hyperlink" Target="http://vancouver.ca/news-calendar/more-than-98-per-cent-of-homeowners-declared-by-empty-homes-tax-deadline.aspx" TargetMode="External"/><Relationship Id="rId7" Type="http://schemas.openxmlformats.org/officeDocument/2006/relationships/hyperlink" Target="http://vancouver.ca/news-calendar/more-than-98-per-cent-of-homeowners-declared-by-empty-homes-tax-deadline.aspx" TargetMode="External"/><Relationship Id="rId12" Type="http://schemas.openxmlformats.org/officeDocument/2006/relationships/hyperlink" Target="https://www.cmhc-schl.gc.ca/en/data-and-research/publications-and-reports/preliminary-housing-start-data" TargetMode="External"/><Relationship Id="rId17" Type="http://schemas.openxmlformats.org/officeDocument/2006/relationships/hyperlink" Target="http://www.metrovancouver.org/services/regional-planning/PlanningPublications/MV_Housing_Data_Book.pdf" TargetMode="External"/><Relationship Id="rId25" Type="http://schemas.openxmlformats.org/officeDocument/2006/relationships/hyperlink" Target="http://www.metrovancouver.org/services/regional-planning/PlanningPublications/MV_Housing_Data_Book.pdf" TargetMode="External"/><Relationship Id="rId2" Type="http://schemas.openxmlformats.org/officeDocument/2006/relationships/hyperlink" Target="http://www.metrovancouver.org/services/regional-planning/PlanningPublications/2016CensusBulletinPopulation.pdf" TargetMode="External"/><Relationship Id="rId16" Type="http://schemas.openxmlformats.org/officeDocument/2006/relationships/hyperlink" Target="http://www.metrovancouver.org/services/regional-planning/PlanningPublications/MV_Housing_Data_Book.pdf" TargetMode="External"/><Relationship Id="rId20" Type="http://schemas.openxmlformats.org/officeDocument/2006/relationships/hyperlink" Target="http://www12.statcan.gc.ca/census-recensement/2016/dp-pd/prof/details/page.cfm?Lang=E&amp;Geo1=CMACA&amp;Code1=933&amp;Geo2=PR&amp;Code2=59&amp;Data=Count&amp;SearchText=vancouver&amp;SearchType=Begins&amp;SearchPR=01&amp;B1=All&amp;TABID=1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s://doodles.mountainmath.ca/blog/2018/05/23/teardowns-and-emissions/" TargetMode="External"/><Relationship Id="rId6" Type="http://schemas.openxmlformats.org/officeDocument/2006/relationships/hyperlink" Target="http://www12.statcan.gc.ca/census-recensement/2016/dp-pd/prof/details/page.cfm?Lang=E&amp;Geo1=CMACA&amp;Code1=933&amp;Geo2=PR&amp;Code2=59&amp;Data=Count&amp;SearchText=vancouver&amp;SearchType=Begins&amp;SearchPR=01&amp;B1=All&amp;TABID=1" TargetMode="External"/><Relationship Id="rId11" Type="http://schemas.openxmlformats.org/officeDocument/2006/relationships/hyperlink" Target="http://www.metrovancouver.org/services/regional-planning/PlanningPublications/MV_Housing_Data_Book.pdf" TargetMode="External"/><Relationship Id="rId24" Type="http://schemas.openxmlformats.org/officeDocument/2006/relationships/hyperlink" Target="http://www.metrovancouver.org/services/regional-planning/PlanningPublications/MV_Housing_Data_Book.pdf" TargetMode="External"/><Relationship Id="rId5" Type="http://schemas.openxmlformats.org/officeDocument/2006/relationships/hyperlink" Target="https://council.vancouver.ca/20171128/documents/rr1presentation.pdf" TargetMode="External"/><Relationship Id="rId15" Type="http://schemas.openxmlformats.org/officeDocument/2006/relationships/hyperlink" Target="https://doodles.mountainmath.ca/blog/2018/05/23/teardowns-and-emissions/" TargetMode="External"/><Relationship Id="rId23" Type="http://schemas.openxmlformats.org/officeDocument/2006/relationships/hyperlink" Target="http://www.metrovancouver.org/services/regional-planning/PlanningPublications/MV_Housing_Data_Book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metrovancouver.org/services/regional-planning/PlanningPublications/MV_Housing_Data_Book.pdf" TargetMode="External"/><Relationship Id="rId19" Type="http://schemas.openxmlformats.org/officeDocument/2006/relationships/hyperlink" Target="https://www.cmhc-schl.gc.ca/en/data-and-research/publications-and-reports/preliminary-housing-start-data" TargetMode="External"/><Relationship Id="rId4" Type="http://schemas.openxmlformats.org/officeDocument/2006/relationships/hyperlink" Target="https://council.vancouver.ca/20171128/documents/rr1presentation.pdf" TargetMode="External"/><Relationship Id="rId9" Type="http://schemas.openxmlformats.org/officeDocument/2006/relationships/hyperlink" Target="http://www.metrovancouver.org/services/regional-planning/PlanningPublications/MV_Housing_Data_Book.pdf" TargetMode="External"/><Relationship Id="rId14" Type="http://schemas.openxmlformats.org/officeDocument/2006/relationships/hyperlink" Target="http://vancouver.ca/news-calendar/more-than-98-per-cent-of-homeowners-declared-by-empty-homes-tax-deadline.aspx" TargetMode="External"/><Relationship Id="rId22" Type="http://schemas.openxmlformats.org/officeDocument/2006/relationships/hyperlink" Target="https://doodles.mountainmath.ca/blog/2018/05/23/teardowns-and-emissions/" TargetMode="External"/><Relationship Id="rId27" Type="http://schemas.openxmlformats.org/officeDocument/2006/relationships/hyperlink" Target="http://www.metrovancouver.org/about/Pages/default.asp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://www.metrovancouver.org/services/regional-planning/PlanningPublications/RGSAdoptedbyGVRDBoard.pdf" TargetMode="External"/><Relationship Id="rId7" Type="http://schemas.openxmlformats.org/officeDocument/2006/relationships/hyperlink" Target="http://www.metrovancouver.org/services/regional-planning/PlanningPublications/2016CensusBulletinPopulation.pdf" TargetMode="External"/><Relationship Id="rId2" Type="http://schemas.openxmlformats.org/officeDocument/2006/relationships/hyperlink" Target="http://www.metrovancouver.org/services/regional-planning/PlanningPublications/RGSAdoptedbyGVRDBoard.pdf" TargetMode="External"/><Relationship Id="rId1" Type="http://schemas.openxmlformats.org/officeDocument/2006/relationships/hyperlink" Target="http://www.metrovancouver.org/services/regional-planning/PlanningPublications/RGSAdoptedbyGVRDBoard.pdf" TargetMode="External"/><Relationship Id="rId6" Type="http://schemas.openxmlformats.org/officeDocument/2006/relationships/hyperlink" Target="http://www.metrovancouver.org/services/regional-planning/PlanningPublications/2016CensusBulletinPopulation.pdf" TargetMode="External"/><Relationship Id="rId5" Type="http://schemas.openxmlformats.org/officeDocument/2006/relationships/hyperlink" Target="http://www.metrovancouver.org/services/regional-planning/PlanningPublications/2016CensusBulletinPopulation.pdf" TargetMode="External"/><Relationship Id="rId4" Type="http://schemas.openxmlformats.org/officeDocument/2006/relationships/hyperlink" Target="http://www.metrovancouver.org/services/regional-planning/PlanningPublications/2016CensusBulletinPopulat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50"/>
  <sheetViews>
    <sheetView tabSelected="1" topLeftCell="A7" zoomScaleNormal="100" workbookViewId="0">
      <selection activeCell="D17" sqref="D17"/>
    </sheetView>
  </sheetViews>
  <sheetFormatPr defaultRowHeight="14.5" x14ac:dyDescent="0.35"/>
  <cols>
    <col min="2" max="2" width="4.7265625" bestFit="1" customWidth="1"/>
    <col min="3" max="3" width="1.7265625" customWidth="1"/>
    <col min="4" max="4" width="74.7265625" customWidth="1"/>
    <col min="5" max="23" width="11" customWidth="1"/>
    <col min="24" max="25" width="10.54296875" bestFit="1" customWidth="1"/>
  </cols>
  <sheetData>
    <row r="1" spans="1:26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5">
      <c r="A4" s="1"/>
      <c r="B4" s="14"/>
      <c r="C4" s="1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5">
      <c r="A5" s="1"/>
      <c r="B5" s="14"/>
      <c r="C5" s="1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5">
      <c r="A6" s="1"/>
      <c r="B6" s="14"/>
      <c r="C6" s="14"/>
      <c r="D6" s="1" t="s">
        <v>38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5">
      <c r="A7" s="1"/>
      <c r="B7" s="14"/>
      <c r="C7" s="1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" x14ac:dyDescent="0.65">
      <c r="A8" s="1"/>
      <c r="B8" s="1"/>
      <c r="C8" s="1"/>
      <c r="D8" s="2" t="str">
        <f>_xlfn.CONCAT("A. Lower Growth Rate - Unmet Demand Forecast (",TEXT(E10,"0.00%")," Growth Rate)")</f>
        <v>A. Lower Growth Rate - Unmet Demand Forecast (1.44% Growth Rate)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5">
      <c r="A9" s="1"/>
      <c r="B9" s="1"/>
      <c r="C9" s="1"/>
      <c r="D9" s="17" t="str">
        <f>_xlfn.CONCAT("Required housing to accommodate approximately ",TEXT(E10,"0.00%")," forecast annual Metro Vancouver population growth from 2017-2021.")</f>
        <v>Required housing to accommodate approximately 1.44% forecast annual Metro Vancouver population growth from 2017-2021.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5">
      <c r="A10" s="1"/>
      <c r="B10" s="1"/>
      <c r="C10" s="1"/>
      <c r="D10" s="39" t="s">
        <v>69</v>
      </c>
      <c r="E10" s="81">
        <f>'Population Growth Analysis'!H32</f>
        <v>1.4432946505399613E-2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6" x14ac:dyDescent="0.35">
      <c r="A11" s="1"/>
      <c r="B11" s="1"/>
      <c r="C11" s="1"/>
      <c r="D11" s="4"/>
      <c r="E11" s="5">
        <v>2003</v>
      </c>
      <c r="F11" s="5">
        <v>2004</v>
      </c>
      <c r="G11" s="5">
        <v>2005</v>
      </c>
      <c r="H11" s="5">
        <v>2006</v>
      </c>
      <c r="I11" s="5">
        <v>2007</v>
      </c>
      <c r="J11" s="5">
        <v>2008</v>
      </c>
      <c r="K11" s="5">
        <v>2009</v>
      </c>
      <c r="L11" s="5">
        <v>2010</v>
      </c>
      <c r="M11" s="5">
        <v>2011</v>
      </c>
      <c r="N11" s="5">
        <v>2012</v>
      </c>
      <c r="O11" s="5">
        <v>2013</v>
      </c>
      <c r="P11" s="5">
        <v>2014</v>
      </c>
      <c r="Q11" s="5">
        <v>2015</v>
      </c>
      <c r="R11" s="5">
        <v>2016</v>
      </c>
      <c r="S11" s="5">
        <v>2017</v>
      </c>
      <c r="T11" s="5" t="s">
        <v>6</v>
      </c>
      <c r="U11" s="5" t="s">
        <v>7</v>
      </c>
      <c r="V11" s="5" t="s">
        <v>8</v>
      </c>
      <c r="W11" s="5" t="s">
        <v>45</v>
      </c>
      <c r="X11" s="5" t="s">
        <v>1</v>
      </c>
      <c r="Y11" s="1"/>
    </row>
    <row r="12" spans="1:26" x14ac:dyDescent="0.35">
      <c r="A12" s="1"/>
      <c r="B12" s="31" t="s">
        <v>61</v>
      </c>
      <c r="C12" s="1"/>
      <c r="D12" s="6" t="s">
        <v>0</v>
      </c>
      <c r="E12" s="7">
        <v>15626</v>
      </c>
      <c r="F12" s="7">
        <v>19430</v>
      </c>
      <c r="G12" s="7">
        <v>18914</v>
      </c>
      <c r="H12" s="7">
        <v>18705</v>
      </c>
      <c r="I12" s="7">
        <v>20736</v>
      </c>
      <c r="J12" s="7">
        <v>19591</v>
      </c>
      <c r="K12" s="7">
        <v>8339</v>
      </c>
      <c r="L12" s="7">
        <v>15217</v>
      </c>
      <c r="M12" s="7">
        <v>17867</v>
      </c>
      <c r="N12" s="7">
        <v>19027</v>
      </c>
      <c r="O12" s="7">
        <v>18696</v>
      </c>
      <c r="P12" s="7">
        <v>19212</v>
      </c>
      <c r="Q12" s="7">
        <v>20863</v>
      </c>
      <c r="R12" s="7">
        <v>27914</v>
      </c>
      <c r="S12" s="7">
        <v>26204</v>
      </c>
      <c r="T12" s="65">
        <v>25234</v>
      </c>
      <c r="U12" s="65"/>
      <c r="V12" s="65"/>
      <c r="W12" s="65"/>
      <c r="X12" s="37">
        <f>AVERAGE(E12:T12)</f>
        <v>19473.4375</v>
      </c>
      <c r="Y12" s="1"/>
    </row>
    <row r="13" spans="1:26" x14ac:dyDescent="0.35">
      <c r="A13" s="1"/>
      <c r="B13" s="31" t="s">
        <v>62</v>
      </c>
      <c r="C13" s="1"/>
      <c r="D13" s="6" t="s">
        <v>5</v>
      </c>
      <c r="E13" s="7">
        <v>13394</v>
      </c>
      <c r="F13" s="7">
        <v>14302</v>
      </c>
      <c r="G13" s="7">
        <v>15834</v>
      </c>
      <c r="H13" s="7">
        <v>18072</v>
      </c>
      <c r="I13" s="7">
        <v>17816</v>
      </c>
      <c r="J13" s="7">
        <v>19150</v>
      </c>
      <c r="K13" s="7">
        <v>16788</v>
      </c>
      <c r="L13" s="7">
        <v>16474</v>
      </c>
      <c r="M13" s="7">
        <v>12919</v>
      </c>
      <c r="N13" s="7">
        <v>16958</v>
      </c>
      <c r="O13" s="7">
        <v>18392</v>
      </c>
      <c r="P13" s="7">
        <v>17731</v>
      </c>
      <c r="Q13" s="7">
        <v>17346</v>
      </c>
      <c r="R13" s="7">
        <v>18148</v>
      </c>
      <c r="S13" s="7">
        <v>21806</v>
      </c>
      <c r="T13" s="65">
        <f>AVERAGE(R12:S12)</f>
        <v>27059</v>
      </c>
      <c r="U13" s="65">
        <f t="shared" ref="U13:V13" si="0">AVERAGE(S12:T12)</f>
        <v>25719</v>
      </c>
      <c r="V13" s="65">
        <f t="shared" si="0"/>
        <v>25234</v>
      </c>
      <c r="W13" s="65">
        <f>AVERAGE(T13:V13)</f>
        <v>26004</v>
      </c>
      <c r="X13" s="37">
        <f>AVERAGE(E13:V13)</f>
        <v>18507.888888888891</v>
      </c>
      <c r="Y13" s="1"/>
    </row>
    <row r="14" spans="1:26" x14ac:dyDescent="0.35">
      <c r="A14" s="1"/>
      <c r="B14" s="31">
        <v>5</v>
      </c>
      <c r="C14" s="1"/>
      <c r="D14" s="6" t="s">
        <v>21</v>
      </c>
      <c r="E14" s="16">
        <f t="shared" ref="E14:W14" si="1">-E13*0.143</f>
        <v>-1915.3419999999999</v>
      </c>
      <c r="F14" s="16">
        <f t="shared" si="1"/>
        <v>-2045.1859999999999</v>
      </c>
      <c r="G14" s="16">
        <f t="shared" si="1"/>
        <v>-2264.2619999999997</v>
      </c>
      <c r="H14" s="16">
        <f t="shared" si="1"/>
        <v>-2584.2959999999998</v>
      </c>
      <c r="I14" s="16">
        <f t="shared" si="1"/>
        <v>-2547.6879999999996</v>
      </c>
      <c r="J14" s="16">
        <f t="shared" si="1"/>
        <v>-2738.45</v>
      </c>
      <c r="K14" s="16">
        <f t="shared" si="1"/>
        <v>-2400.6839999999997</v>
      </c>
      <c r="L14" s="16">
        <f t="shared" si="1"/>
        <v>-2355.7819999999997</v>
      </c>
      <c r="M14" s="16">
        <f t="shared" si="1"/>
        <v>-1847.4169999999999</v>
      </c>
      <c r="N14" s="16">
        <f t="shared" si="1"/>
        <v>-2424.9939999999997</v>
      </c>
      <c r="O14" s="16">
        <f t="shared" si="1"/>
        <v>-2630.0559999999996</v>
      </c>
      <c r="P14" s="16">
        <f t="shared" si="1"/>
        <v>-2535.5329999999999</v>
      </c>
      <c r="Q14" s="16">
        <f t="shared" si="1"/>
        <v>-2480.4779999999996</v>
      </c>
      <c r="R14" s="16">
        <f t="shared" si="1"/>
        <v>-2595.1639999999998</v>
      </c>
      <c r="S14" s="16">
        <f t="shared" si="1"/>
        <v>-3118.2579999999998</v>
      </c>
      <c r="T14" s="66">
        <f t="shared" si="1"/>
        <v>-3869.4369999999999</v>
      </c>
      <c r="U14" s="66">
        <f t="shared" si="1"/>
        <v>-3677.8169999999996</v>
      </c>
      <c r="V14" s="66">
        <f t="shared" si="1"/>
        <v>-3608.4619999999995</v>
      </c>
      <c r="W14" s="66">
        <f t="shared" si="1"/>
        <v>-3718.5719999999997</v>
      </c>
      <c r="X14" s="37">
        <f t="shared" ref="X14:X15" si="2">AVERAGE(E14:V14)</f>
        <v>-2646.6281111111111</v>
      </c>
      <c r="Y14" s="1"/>
    </row>
    <row r="15" spans="1:26" x14ac:dyDescent="0.35">
      <c r="A15" s="1"/>
      <c r="B15" s="31">
        <v>6</v>
      </c>
      <c r="C15" s="1"/>
      <c r="D15" s="6" t="s">
        <v>86</v>
      </c>
      <c r="E15" s="16">
        <f t="shared" ref="E15:W15" si="3">-E13*0.1</f>
        <v>-1339.4</v>
      </c>
      <c r="F15" s="16">
        <f t="shared" si="3"/>
        <v>-1430.2</v>
      </c>
      <c r="G15" s="16">
        <f t="shared" si="3"/>
        <v>-1583.4</v>
      </c>
      <c r="H15" s="16">
        <f t="shared" si="3"/>
        <v>-1807.2</v>
      </c>
      <c r="I15" s="16">
        <f t="shared" si="3"/>
        <v>-1781.6000000000001</v>
      </c>
      <c r="J15" s="16">
        <f t="shared" si="3"/>
        <v>-1915</v>
      </c>
      <c r="K15" s="16">
        <f t="shared" si="3"/>
        <v>-1678.8000000000002</v>
      </c>
      <c r="L15" s="16">
        <f t="shared" si="3"/>
        <v>-1647.4</v>
      </c>
      <c r="M15" s="16">
        <f t="shared" si="3"/>
        <v>-1291.9000000000001</v>
      </c>
      <c r="N15" s="16">
        <f t="shared" si="3"/>
        <v>-1695.8000000000002</v>
      </c>
      <c r="O15" s="16">
        <f t="shared" si="3"/>
        <v>-1839.2</v>
      </c>
      <c r="P15" s="16">
        <f t="shared" si="3"/>
        <v>-1773.1000000000001</v>
      </c>
      <c r="Q15" s="16">
        <f t="shared" si="3"/>
        <v>-1734.6000000000001</v>
      </c>
      <c r="R15" s="16">
        <f t="shared" si="3"/>
        <v>-1814.8000000000002</v>
      </c>
      <c r="S15" s="16">
        <f t="shared" si="3"/>
        <v>-2180.6</v>
      </c>
      <c r="T15" s="66">
        <f t="shared" si="3"/>
        <v>-2705.9</v>
      </c>
      <c r="U15" s="66">
        <f t="shared" si="3"/>
        <v>-2571.9</v>
      </c>
      <c r="V15" s="66">
        <f t="shared" si="3"/>
        <v>-2523.4</v>
      </c>
      <c r="W15" s="66">
        <f t="shared" si="3"/>
        <v>-2600.4</v>
      </c>
      <c r="X15" s="37">
        <f t="shared" si="2"/>
        <v>-1850.7888888888888</v>
      </c>
      <c r="Y15" s="1"/>
    </row>
    <row r="16" spans="1:26" x14ac:dyDescent="0.35">
      <c r="A16" s="1"/>
      <c r="B16" s="31"/>
      <c r="C16" s="1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7"/>
      <c r="U16" s="67"/>
      <c r="V16" s="67"/>
      <c r="W16" s="67"/>
      <c r="X16" s="37"/>
      <c r="Y16" s="1"/>
    </row>
    <row r="17" spans="1:25" x14ac:dyDescent="0.35">
      <c r="A17" s="1"/>
      <c r="B17" s="36"/>
      <c r="C17" s="1"/>
      <c r="D17" s="9" t="s">
        <v>4</v>
      </c>
      <c r="E17" s="12">
        <f t="shared" ref="E17:W17" si="4">SUM(E13:E15)</f>
        <v>10139.258</v>
      </c>
      <c r="F17" s="12">
        <f t="shared" si="4"/>
        <v>10826.614</v>
      </c>
      <c r="G17" s="12">
        <f t="shared" si="4"/>
        <v>11986.338000000002</v>
      </c>
      <c r="H17" s="12">
        <f t="shared" si="4"/>
        <v>13680.503999999999</v>
      </c>
      <c r="I17" s="12">
        <f t="shared" si="4"/>
        <v>13486.712</v>
      </c>
      <c r="J17" s="12">
        <f t="shared" si="4"/>
        <v>14496.55</v>
      </c>
      <c r="K17" s="12">
        <f t="shared" si="4"/>
        <v>12708.516</v>
      </c>
      <c r="L17" s="12">
        <f t="shared" si="4"/>
        <v>12470.818000000001</v>
      </c>
      <c r="M17" s="12">
        <f t="shared" si="4"/>
        <v>9779.6830000000009</v>
      </c>
      <c r="N17" s="12">
        <f t="shared" si="4"/>
        <v>12837.206000000002</v>
      </c>
      <c r="O17" s="12">
        <f t="shared" si="4"/>
        <v>13922.743999999999</v>
      </c>
      <c r="P17" s="12">
        <f t="shared" si="4"/>
        <v>13422.367</v>
      </c>
      <c r="Q17" s="12">
        <f t="shared" si="4"/>
        <v>13130.922</v>
      </c>
      <c r="R17" s="12">
        <f t="shared" si="4"/>
        <v>13738.036</v>
      </c>
      <c r="S17" s="12">
        <f t="shared" si="4"/>
        <v>16507.142</v>
      </c>
      <c r="T17" s="68">
        <f t="shared" si="4"/>
        <v>20483.663</v>
      </c>
      <c r="U17" s="68">
        <f t="shared" si="4"/>
        <v>19469.282999999999</v>
      </c>
      <c r="V17" s="68">
        <f t="shared" si="4"/>
        <v>19102.137999999999</v>
      </c>
      <c r="W17" s="68">
        <f t="shared" si="4"/>
        <v>19685.027999999998</v>
      </c>
      <c r="X17" s="37">
        <f t="shared" ref="X17" si="5">AVERAGE(E17:V17)</f>
        <v>14010.471888888887</v>
      </c>
      <c r="Y17" s="1"/>
    </row>
    <row r="18" spans="1:25" x14ac:dyDescent="0.35">
      <c r="A18" s="1"/>
      <c r="B18" s="31"/>
      <c r="C18" s="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7"/>
      <c r="U18" s="67"/>
      <c r="V18" s="67"/>
      <c r="W18" s="67"/>
      <c r="X18" s="37"/>
      <c r="Y18" s="1"/>
    </row>
    <row r="19" spans="1:25" x14ac:dyDescent="0.35">
      <c r="A19" s="1"/>
      <c r="B19" s="31"/>
      <c r="C19" s="1"/>
      <c r="D19" s="6" t="s">
        <v>2</v>
      </c>
      <c r="E19" s="10">
        <f>ROUND(E20-E20/(1+E21),0)</f>
        <v>25594</v>
      </c>
      <c r="F19" s="10">
        <f>ROUND(F20-F20/(1+F21),0)</f>
        <v>25919</v>
      </c>
      <c r="G19" s="10">
        <f t="shared" ref="G19:Q19" si="6">ROUND(G20-G20/(1+G21),0)</f>
        <v>26249</v>
      </c>
      <c r="H19" s="10">
        <f t="shared" si="6"/>
        <v>26583</v>
      </c>
      <c r="I19" s="10">
        <f t="shared" si="6"/>
        <v>37963</v>
      </c>
      <c r="J19" s="10">
        <f t="shared" si="6"/>
        <v>38644</v>
      </c>
      <c r="K19" s="10">
        <f t="shared" si="6"/>
        <v>39337</v>
      </c>
      <c r="L19" s="10">
        <f t="shared" si="6"/>
        <v>40043</v>
      </c>
      <c r="M19" s="10">
        <f t="shared" si="6"/>
        <v>40761</v>
      </c>
      <c r="N19" s="10">
        <f t="shared" si="6"/>
        <v>29270</v>
      </c>
      <c r="O19" s="10">
        <f t="shared" si="6"/>
        <v>29641</v>
      </c>
      <c r="P19" s="10">
        <f t="shared" si="6"/>
        <v>30016</v>
      </c>
      <c r="Q19" s="10">
        <f t="shared" si="6"/>
        <v>30396</v>
      </c>
      <c r="R19" s="10">
        <f>ROUND(R20-R20/(1+R21),0)</f>
        <v>30780</v>
      </c>
      <c r="S19" s="10">
        <f>ROUND(R20*S21,0)</f>
        <v>35555</v>
      </c>
      <c r="T19" s="69">
        <f>ROUND(S20*T21,0)</f>
        <v>36068</v>
      </c>
      <c r="U19" s="69">
        <f t="shared" ref="U19:W19" si="7">ROUND(T20*U21,0)</f>
        <v>36588</v>
      </c>
      <c r="V19" s="69">
        <f t="shared" si="7"/>
        <v>37116</v>
      </c>
      <c r="W19" s="69">
        <f t="shared" si="7"/>
        <v>37652</v>
      </c>
      <c r="X19" s="37">
        <f t="shared" ref="X19" si="8">AVERAGE(E19:V19)</f>
        <v>33140.166666666664</v>
      </c>
      <c r="Y19" s="1"/>
    </row>
    <row r="20" spans="1:25" x14ac:dyDescent="0.35">
      <c r="A20" s="1"/>
      <c r="B20" s="31">
        <v>7</v>
      </c>
      <c r="C20" s="1"/>
      <c r="D20" s="6" t="s">
        <v>46</v>
      </c>
      <c r="E20" s="10">
        <f>F20-F19</f>
        <v>2037830</v>
      </c>
      <c r="F20" s="10">
        <f>G20-G19</f>
        <v>2063749</v>
      </c>
      <c r="G20" s="10">
        <f>H20-H19</f>
        <v>2089998</v>
      </c>
      <c r="H20" s="10">
        <v>2116581</v>
      </c>
      <c r="I20" s="10">
        <f>J20-J19</f>
        <v>2154543</v>
      </c>
      <c r="J20" s="10">
        <f>K20-K19</f>
        <v>2193187</v>
      </c>
      <c r="K20" s="10">
        <f>L20-L19</f>
        <v>2232524</v>
      </c>
      <c r="L20" s="10">
        <f>M20-M19</f>
        <v>2272567</v>
      </c>
      <c r="M20" s="10">
        <v>2313328</v>
      </c>
      <c r="N20" s="10">
        <f>O20-O19</f>
        <v>2342598</v>
      </c>
      <c r="O20" s="10">
        <f>P20-P19</f>
        <v>2372239</v>
      </c>
      <c r="P20" s="10">
        <f>Q20-Q19</f>
        <v>2402255</v>
      </c>
      <c r="Q20" s="10">
        <f>R20-R19</f>
        <v>2432651</v>
      </c>
      <c r="R20" s="10">
        <v>2463431</v>
      </c>
      <c r="S20" s="10">
        <f>R20+S19</f>
        <v>2498986</v>
      </c>
      <c r="T20" s="69">
        <f>S20+T19</f>
        <v>2535054</v>
      </c>
      <c r="U20" s="69">
        <f>T20+U19</f>
        <v>2571642</v>
      </c>
      <c r="V20" s="69">
        <f>U20+V19</f>
        <v>2608758</v>
      </c>
      <c r="W20" s="69">
        <f>V20+W19</f>
        <v>2646410</v>
      </c>
      <c r="X20" s="37"/>
      <c r="Y20" s="1"/>
    </row>
    <row r="21" spans="1:25" x14ac:dyDescent="0.35">
      <c r="A21" s="1"/>
      <c r="B21" s="31">
        <v>8</v>
      </c>
      <c r="C21" s="1"/>
      <c r="D21" s="6" t="s">
        <v>47</v>
      </c>
      <c r="E21" s="63">
        <f>'Population Growth Analysis'!$H$18</f>
        <v>1.2718946837372958E-2</v>
      </c>
      <c r="F21" s="63">
        <f>'Population Growth Analysis'!$H$18</f>
        <v>1.2718946837372958E-2</v>
      </c>
      <c r="G21" s="63">
        <f>'Population Growth Analysis'!$H$18</f>
        <v>1.2718946837372958E-2</v>
      </c>
      <c r="H21" s="63">
        <f>'Population Growth Analysis'!$H$18</f>
        <v>1.2718946837372958E-2</v>
      </c>
      <c r="I21" s="63">
        <f>'Population Growth Analysis'!$H$20</f>
        <v>1.7935977703644079E-2</v>
      </c>
      <c r="J21" s="63">
        <f>'Population Growth Analysis'!$H$20</f>
        <v>1.7935977703644079E-2</v>
      </c>
      <c r="K21" s="63">
        <f>'Population Growth Analysis'!$H$20</f>
        <v>1.7935977703644079E-2</v>
      </c>
      <c r="L21" s="63">
        <f>'Population Growth Analysis'!$H$20</f>
        <v>1.7935977703644079E-2</v>
      </c>
      <c r="M21" s="63">
        <f>'Population Growth Analysis'!$H$20</f>
        <v>1.7935977703644079E-2</v>
      </c>
      <c r="N21" s="63">
        <f>'Population Growth Analysis'!$H$22</f>
        <v>1.2652962499257736E-2</v>
      </c>
      <c r="O21" s="63">
        <f>'Population Growth Analysis'!$H$22</f>
        <v>1.2652962499257736E-2</v>
      </c>
      <c r="P21" s="63">
        <f>'Population Growth Analysis'!$H$22</f>
        <v>1.2652962499257736E-2</v>
      </c>
      <c r="Q21" s="63">
        <f>'Population Growth Analysis'!$H$22</f>
        <v>1.2652962499257736E-2</v>
      </c>
      <c r="R21" s="63">
        <f>'Population Growth Analysis'!$H$22</f>
        <v>1.2652962499257736E-2</v>
      </c>
      <c r="S21" s="63">
        <f>'Population Growth Analysis'!$H$32</f>
        <v>1.4432946505399613E-2</v>
      </c>
      <c r="T21" s="70">
        <f>'Population Growth Analysis'!$H$32</f>
        <v>1.4432946505399613E-2</v>
      </c>
      <c r="U21" s="70">
        <f>'Population Growth Analysis'!$H$32</f>
        <v>1.4432946505399613E-2</v>
      </c>
      <c r="V21" s="70">
        <f>'Population Growth Analysis'!$H$32</f>
        <v>1.4432946505399613E-2</v>
      </c>
      <c r="W21" s="70">
        <f>'Population Growth Analysis'!$H$32</f>
        <v>1.4432946505399613E-2</v>
      </c>
      <c r="X21" s="64"/>
      <c r="Y21" s="1"/>
    </row>
    <row r="22" spans="1:25" x14ac:dyDescent="0.35">
      <c r="A22" s="1"/>
      <c r="B22" s="31"/>
      <c r="C22" s="1"/>
      <c r="D22" s="6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69"/>
      <c r="U22" s="69"/>
      <c r="V22" s="69"/>
      <c r="W22" s="69"/>
      <c r="X22" s="37"/>
      <c r="Y22" s="1"/>
    </row>
    <row r="23" spans="1:25" x14ac:dyDescent="0.35">
      <c r="A23" s="1"/>
      <c r="B23" s="31">
        <v>9</v>
      </c>
      <c r="C23" s="1"/>
      <c r="D23" s="6" t="s">
        <v>15</v>
      </c>
      <c r="E23" s="10">
        <f t="shared" ref="E23:W23" si="9">E19/2.5</f>
        <v>10237.6</v>
      </c>
      <c r="F23" s="10">
        <f t="shared" si="9"/>
        <v>10367.6</v>
      </c>
      <c r="G23" s="10">
        <f t="shared" si="9"/>
        <v>10499.6</v>
      </c>
      <c r="H23" s="10">
        <f t="shared" si="9"/>
        <v>10633.2</v>
      </c>
      <c r="I23" s="10">
        <f t="shared" si="9"/>
        <v>15185.2</v>
      </c>
      <c r="J23" s="10">
        <f t="shared" si="9"/>
        <v>15457.6</v>
      </c>
      <c r="K23" s="10">
        <f t="shared" si="9"/>
        <v>15734.8</v>
      </c>
      <c r="L23" s="10">
        <f t="shared" si="9"/>
        <v>16017.2</v>
      </c>
      <c r="M23" s="10">
        <f t="shared" si="9"/>
        <v>16304.4</v>
      </c>
      <c r="N23" s="10">
        <f t="shared" si="9"/>
        <v>11708</v>
      </c>
      <c r="O23" s="10">
        <f t="shared" si="9"/>
        <v>11856.4</v>
      </c>
      <c r="P23" s="10">
        <f t="shared" si="9"/>
        <v>12006.4</v>
      </c>
      <c r="Q23" s="10">
        <f t="shared" si="9"/>
        <v>12158.4</v>
      </c>
      <c r="R23" s="10">
        <f t="shared" si="9"/>
        <v>12312</v>
      </c>
      <c r="S23" s="10">
        <f t="shared" si="9"/>
        <v>14222</v>
      </c>
      <c r="T23" s="69">
        <f t="shared" si="9"/>
        <v>14427.2</v>
      </c>
      <c r="U23" s="69">
        <f t="shared" si="9"/>
        <v>14635.2</v>
      </c>
      <c r="V23" s="69">
        <f t="shared" si="9"/>
        <v>14846.4</v>
      </c>
      <c r="W23" s="69">
        <f t="shared" si="9"/>
        <v>15060.8</v>
      </c>
      <c r="X23" s="37">
        <f t="shared" ref="X23" si="10">AVERAGE(E23:V23)</f>
        <v>13256.066666666668</v>
      </c>
      <c r="Y23" s="1"/>
    </row>
    <row r="24" spans="1:25" x14ac:dyDescent="0.35">
      <c r="A24" s="1"/>
      <c r="B24" s="31"/>
      <c r="C24" s="1"/>
      <c r="D24" s="6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9"/>
      <c r="U24" s="69"/>
      <c r="V24" s="69"/>
      <c r="W24" s="69"/>
      <c r="X24" s="37"/>
      <c r="Y24" s="1"/>
    </row>
    <row r="25" spans="1:25" x14ac:dyDescent="0.35">
      <c r="A25" s="1"/>
      <c r="B25" s="31">
        <v>10</v>
      </c>
      <c r="C25" s="1"/>
      <c r="D25" s="6" t="s">
        <v>49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>
        <v>348700</v>
      </c>
      <c r="S25" s="10">
        <f>R25+S13+S14</f>
        <v>367387.74200000003</v>
      </c>
      <c r="T25" s="69">
        <f t="shared" ref="T25:W25" si="11">S25+T13+T14</f>
        <v>390577.30500000005</v>
      </c>
      <c r="U25" s="69">
        <f>T25+U13+U14</f>
        <v>412618.48800000007</v>
      </c>
      <c r="V25" s="69">
        <f t="shared" si="11"/>
        <v>434244.02600000007</v>
      </c>
      <c r="W25" s="69">
        <f t="shared" si="11"/>
        <v>456529.45400000009</v>
      </c>
      <c r="X25" s="37"/>
      <c r="Y25" s="1"/>
    </row>
    <row r="26" spans="1:25" x14ac:dyDescent="0.35">
      <c r="A26" s="1"/>
      <c r="B26" s="31">
        <v>11</v>
      </c>
      <c r="C26" s="1"/>
      <c r="D26" s="6" t="s">
        <v>75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69"/>
      <c r="U26" s="69">
        <f>($W$25*3%)/3</f>
        <v>4565.2945400000008</v>
      </c>
      <c r="V26" s="69">
        <f t="shared" ref="V26:W26" si="12">($W$25*3%)/3</f>
        <v>4565.2945400000008</v>
      </c>
      <c r="W26" s="69">
        <f t="shared" si="12"/>
        <v>4565.2945400000008</v>
      </c>
      <c r="X26" s="37"/>
      <c r="Y26" s="1"/>
    </row>
    <row r="27" spans="1:25" x14ac:dyDescent="0.35">
      <c r="A27" s="1"/>
      <c r="B27" s="1"/>
      <c r="C27" s="31"/>
      <c r="D27" s="6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69"/>
      <c r="U27" s="69"/>
      <c r="V27" s="69"/>
      <c r="W27" s="69"/>
      <c r="X27" s="7"/>
      <c r="Y27" s="1"/>
    </row>
    <row r="28" spans="1:25" x14ac:dyDescent="0.35">
      <c r="A28" s="1"/>
      <c r="B28" s="1"/>
      <c r="C28" s="31"/>
      <c r="D28" s="6" t="s">
        <v>3</v>
      </c>
      <c r="E28" s="32">
        <f t="shared" ref="E28:W28" si="13">E17-E23-E26</f>
        <v>-98.342000000000553</v>
      </c>
      <c r="F28" s="32">
        <f t="shared" si="13"/>
        <v>459.01399999999921</v>
      </c>
      <c r="G28" s="32">
        <f t="shared" si="13"/>
        <v>1486.7380000000012</v>
      </c>
      <c r="H28" s="32">
        <f t="shared" si="13"/>
        <v>3047.3039999999983</v>
      </c>
      <c r="I28" s="32">
        <f t="shared" si="13"/>
        <v>-1698.4880000000012</v>
      </c>
      <c r="J28" s="32">
        <f t="shared" si="13"/>
        <v>-961.05000000000109</v>
      </c>
      <c r="K28" s="32">
        <f t="shared" si="13"/>
        <v>-3026.2839999999997</v>
      </c>
      <c r="L28" s="32">
        <f t="shared" si="13"/>
        <v>-3546.3819999999996</v>
      </c>
      <c r="M28" s="32">
        <f t="shared" si="13"/>
        <v>-6524.7169999999987</v>
      </c>
      <c r="N28" s="32">
        <f t="shared" si="13"/>
        <v>1129.2060000000019</v>
      </c>
      <c r="O28" s="32">
        <f t="shared" si="13"/>
        <v>2066.3439999999991</v>
      </c>
      <c r="P28" s="32">
        <f t="shared" si="13"/>
        <v>1415.9670000000006</v>
      </c>
      <c r="Q28" s="32">
        <f t="shared" si="13"/>
        <v>972.52200000000084</v>
      </c>
      <c r="R28" s="32">
        <f t="shared" si="13"/>
        <v>1426.0360000000001</v>
      </c>
      <c r="S28" s="32">
        <f t="shared" si="13"/>
        <v>2285.1419999999998</v>
      </c>
      <c r="T28" s="71">
        <f t="shared" si="13"/>
        <v>6056.4629999999997</v>
      </c>
      <c r="U28" s="71">
        <f t="shared" si="13"/>
        <v>268.78845999999794</v>
      </c>
      <c r="V28" s="71">
        <f t="shared" si="13"/>
        <v>-309.55654000000141</v>
      </c>
      <c r="W28" s="71">
        <f t="shared" si="13"/>
        <v>58.933459999998377</v>
      </c>
      <c r="X28" s="37">
        <f t="shared" ref="X28" si="14">AVERAGE(E28:V28)</f>
        <v>247.15027333333313</v>
      </c>
      <c r="Y28" s="1"/>
    </row>
    <row r="29" spans="1:25" x14ac:dyDescent="0.35">
      <c r="A29" s="1"/>
      <c r="B29" s="1"/>
      <c r="C29" s="1"/>
      <c r="D29" s="6"/>
      <c r="E29" s="19">
        <f t="shared" ref="E29:V29" si="15">E11</f>
        <v>2003</v>
      </c>
      <c r="F29" s="19">
        <f t="shared" si="15"/>
        <v>2004</v>
      </c>
      <c r="G29" s="19">
        <f t="shared" si="15"/>
        <v>2005</v>
      </c>
      <c r="H29" s="19">
        <f t="shared" si="15"/>
        <v>2006</v>
      </c>
      <c r="I29" s="19">
        <f t="shared" si="15"/>
        <v>2007</v>
      </c>
      <c r="J29" s="19">
        <f t="shared" si="15"/>
        <v>2008</v>
      </c>
      <c r="K29" s="19">
        <f t="shared" si="15"/>
        <v>2009</v>
      </c>
      <c r="L29" s="19">
        <f t="shared" si="15"/>
        <v>2010</v>
      </c>
      <c r="M29" s="19">
        <f t="shared" si="15"/>
        <v>2011</v>
      </c>
      <c r="N29" s="19">
        <f t="shared" si="15"/>
        <v>2012</v>
      </c>
      <c r="O29" s="19">
        <f t="shared" si="15"/>
        <v>2013</v>
      </c>
      <c r="P29" s="19">
        <f t="shared" si="15"/>
        <v>2014</v>
      </c>
      <c r="Q29" s="19">
        <f t="shared" si="15"/>
        <v>2015</v>
      </c>
      <c r="R29" s="19">
        <f t="shared" si="15"/>
        <v>2016</v>
      </c>
      <c r="S29" s="19">
        <f t="shared" si="15"/>
        <v>2017</v>
      </c>
      <c r="T29" s="72" t="str">
        <f t="shared" si="15"/>
        <v>2018F</v>
      </c>
      <c r="U29" s="72" t="str">
        <f t="shared" si="15"/>
        <v>2019F</v>
      </c>
      <c r="V29" s="72" t="str">
        <f t="shared" si="15"/>
        <v>2020F</v>
      </c>
      <c r="W29" s="72"/>
      <c r="X29" s="7"/>
      <c r="Y29" s="1"/>
    </row>
    <row r="30" spans="1:25" x14ac:dyDescent="0.35">
      <c r="A30" s="1"/>
      <c r="B30" s="1"/>
      <c r="C30" s="1"/>
      <c r="D30" s="11" t="s">
        <v>22</v>
      </c>
      <c r="E30" s="32">
        <f>E28</f>
        <v>-98.342000000000553</v>
      </c>
      <c r="F30" s="32">
        <f>E30+F28</f>
        <v>360.67199999999866</v>
      </c>
      <c r="G30" s="32">
        <f t="shared" ref="G30" si="16">F30+G28</f>
        <v>1847.4099999999999</v>
      </c>
      <c r="H30" s="32">
        <f t="shared" ref="H30" si="17">G30+H28</f>
        <v>4894.7139999999981</v>
      </c>
      <c r="I30" s="32">
        <f t="shared" ref="I30" si="18">H30+I28</f>
        <v>3196.2259999999969</v>
      </c>
      <c r="J30" s="32">
        <f t="shared" ref="J30" si="19">I30+J28</f>
        <v>2235.1759999999958</v>
      </c>
      <c r="K30" s="32">
        <f t="shared" ref="K30" si="20">J30+K28</f>
        <v>-791.10800000000381</v>
      </c>
      <c r="L30" s="32">
        <f t="shared" ref="L30" si="21">K30+L28</f>
        <v>-4337.4900000000034</v>
      </c>
      <c r="M30" s="32">
        <f t="shared" ref="M30" si="22">L30+M28</f>
        <v>-10862.207000000002</v>
      </c>
      <c r="N30" s="32">
        <f t="shared" ref="N30" si="23">M30+N28</f>
        <v>-9733.0010000000002</v>
      </c>
      <c r="O30" s="32">
        <f t="shared" ref="O30" si="24">N30+O28</f>
        <v>-7666.6570000000011</v>
      </c>
      <c r="P30" s="32">
        <f t="shared" ref="P30" si="25">O30+P28</f>
        <v>-6250.6900000000005</v>
      </c>
      <c r="Q30" s="32">
        <f t="shared" ref="Q30" si="26">P30+Q28</f>
        <v>-5278.1679999999997</v>
      </c>
      <c r="R30" s="32">
        <f t="shared" ref="R30" si="27">Q30+R28</f>
        <v>-3852.1319999999996</v>
      </c>
      <c r="S30" s="32">
        <f t="shared" ref="S30" si="28">R30+S28</f>
        <v>-1566.9899999999998</v>
      </c>
      <c r="T30" s="71">
        <f t="shared" ref="T30" si="29">S30+T28</f>
        <v>4489.473</v>
      </c>
      <c r="U30" s="71">
        <f t="shared" ref="U30" si="30">T30+U28</f>
        <v>4758.2614599999979</v>
      </c>
      <c r="V30" s="71">
        <f t="shared" ref="V30" si="31">U30+V28</f>
        <v>4448.7049199999965</v>
      </c>
      <c r="W30" s="71">
        <f>V30+W28</f>
        <v>4507.6383799999949</v>
      </c>
      <c r="X30" s="32"/>
      <c r="Y30" s="1"/>
    </row>
    <row r="31" spans="1:2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35">
      <c r="A32" s="1"/>
      <c r="B32" s="1"/>
      <c r="C32" s="1"/>
      <c r="D32" s="21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3" t="s">
        <v>9</v>
      </c>
      <c r="Q32" s="24">
        <v>960895</v>
      </c>
      <c r="R32" s="24">
        <f>Q32+R23</f>
        <v>973207</v>
      </c>
      <c r="S32" s="24">
        <f t="shared" ref="S32" si="32">R32+S23</f>
        <v>987429</v>
      </c>
      <c r="T32" s="24">
        <f t="shared" ref="T32" si="33">S32+T23</f>
        <v>1001856.2</v>
      </c>
      <c r="U32" s="24">
        <f t="shared" ref="U32" si="34">T32+U23</f>
        <v>1016491.3999999999</v>
      </c>
      <c r="V32" s="24">
        <f t="shared" ref="V32" si="35">U32+V23</f>
        <v>1031337.7999999999</v>
      </c>
      <c r="W32" s="24">
        <f t="shared" ref="W32" si="36">V32+W23</f>
        <v>1046398.6</v>
      </c>
      <c r="X32" s="25"/>
      <c r="Y32" s="1"/>
    </row>
    <row r="33" spans="1:29" ht="31" customHeight="1" x14ac:dyDescent="0.35">
      <c r="A33" s="1"/>
      <c r="B33" s="1"/>
      <c r="C33" s="1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73" t="s">
        <v>76</v>
      </c>
      <c r="Q33" s="29">
        <f t="shared" ref="Q33:V33" si="37">Q30/Q32</f>
        <v>-5.4929706159361838E-3</v>
      </c>
      <c r="R33" s="29">
        <f t="shared" si="37"/>
        <v>-3.9581836135580608E-3</v>
      </c>
      <c r="S33" s="29">
        <f t="shared" si="37"/>
        <v>-1.5869394153908785E-3</v>
      </c>
      <c r="T33" s="29">
        <f t="shared" si="37"/>
        <v>4.4811550799406146E-3</v>
      </c>
      <c r="U33" s="29">
        <f t="shared" si="37"/>
        <v>4.6810641585359192E-3</v>
      </c>
      <c r="V33" s="29">
        <f t="shared" si="37"/>
        <v>4.313528428803828E-3</v>
      </c>
      <c r="W33" s="29">
        <f>W30/W32</f>
        <v>4.3077641541187026E-3</v>
      </c>
      <c r="X33" s="30"/>
      <c r="Y33" s="1"/>
    </row>
    <row r="34" spans="1:29" x14ac:dyDescent="0.35">
      <c r="A34" s="1"/>
      <c r="B34" s="1"/>
      <c r="C34" s="1"/>
      <c r="D34" s="13" t="s">
        <v>17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/>
      <c r="AB34">
        <v>2356000</v>
      </c>
    </row>
    <row r="35" spans="1:29" x14ac:dyDescent="0.35">
      <c r="A35" s="1"/>
      <c r="B35" s="74">
        <v>1</v>
      </c>
      <c r="C35" s="74" t="s">
        <v>12</v>
      </c>
      <c r="D35" s="88" t="s">
        <v>81</v>
      </c>
      <c r="E35" s="88"/>
      <c r="F35" s="88"/>
      <c r="G35" s="88"/>
      <c r="H35" s="77" t="s">
        <v>10</v>
      </c>
      <c r="I35" s="74" t="s">
        <v>14</v>
      </c>
      <c r="J35" s="74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1"/>
      <c r="AB35">
        <v>2788000</v>
      </c>
      <c r="AC35">
        <f>(AB35-AB34)/10</f>
        <v>43200</v>
      </c>
    </row>
    <row r="36" spans="1:29" ht="6" customHeight="1" x14ac:dyDescent="0.35">
      <c r="A36" s="1"/>
      <c r="B36" s="74"/>
      <c r="C36" s="74"/>
      <c r="D36" s="80"/>
      <c r="E36" s="80"/>
      <c r="F36" s="80"/>
      <c r="G36" s="80"/>
      <c r="H36" s="77"/>
      <c r="I36" s="74"/>
      <c r="J36" s="74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1"/>
    </row>
    <row r="37" spans="1:29" x14ac:dyDescent="0.35">
      <c r="A37" s="1"/>
      <c r="B37" s="74">
        <v>2</v>
      </c>
      <c r="C37" s="74"/>
      <c r="D37" s="88" t="s">
        <v>82</v>
      </c>
      <c r="E37" s="88"/>
      <c r="F37" s="88"/>
      <c r="G37" s="88"/>
      <c r="H37" s="77" t="s">
        <v>10</v>
      </c>
      <c r="I37" s="74" t="s">
        <v>63</v>
      </c>
      <c r="J37" s="74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1"/>
    </row>
    <row r="38" spans="1:29" ht="6" customHeight="1" x14ac:dyDescent="0.35">
      <c r="A38" s="1"/>
      <c r="B38" s="74"/>
      <c r="C38" s="74"/>
      <c r="D38" s="80"/>
      <c r="E38" s="80"/>
      <c r="F38" s="80"/>
      <c r="G38" s="80"/>
      <c r="H38" s="77"/>
      <c r="I38" s="74"/>
      <c r="J38" s="74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1"/>
    </row>
    <row r="39" spans="1:29" ht="13.5" customHeight="1" x14ac:dyDescent="0.35">
      <c r="A39" s="1"/>
      <c r="B39" s="74">
        <v>3</v>
      </c>
      <c r="C39" s="74" t="s">
        <v>12</v>
      </c>
      <c r="D39" s="88" t="s">
        <v>83</v>
      </c>
      <c r="E39" s="88"/>
      <c r="F39" s="88"/>
      <c r="G39" s="88"/>
      <c r="H39" s="77" t="s">
        <v>10</v>
      </c>
      <c r="I39" s="74" t="s">
        <v>14</v>
      </c>
      <c r="J39" s="74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1"/>
    </row>
    <row r="40" spans="1:29" ht="6" customHeight="1" x14ac:dyDescent="0.35">
      <c r="A40" s="1"/>
      <c r="B40" s="74"/>
      <c r="C40" s="74"/>
      <c r="D40" s="80"/>
      <c r="E40" s="80"/>
      <c r="F40" s="80"/>
      <c r="G40" s="80"/>
      <c r="H40" s="77"/>
      <c r="I40" s="74"/>
      <c r="J40" s="74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1"/>
    </row>
    <row r="41" spans="1:29" ht="48.75" customHeight="1" x14ac:dyDescent="0.35">
      <c r="A41" s="1"/>
      <c r="B41" s="74">
        <v>4</v>
      </c>
      <c r="C41" s="74" t="s">
        <v>12</v>
      </c>
      <c r="D41" s="88" t="s">
        <v>64</v>
      </c>
      <c r="E41" s="88"/>
      <c r="F41" s="88"/>
      <c r="G41" s="88"/>
      <c r="H41" s="78"/>
      <c r="I41" s="74" t="s">
        <v>13</v>
      </c>
      <c r="J41" s="74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1"/>
    </row>
    <row r="42" spans="1:29" ht="6" customHeight="1" x14ac:dyDescent="0.35">
      <c r="A42" s="1"/>
      <c r="B42" s="74"/>
      <c r="C42" s="74"/>
      <c r="D42" s="80"/>
      <c r="E42" s="80"/>
      <c r="F42" s="80"/>
      <c r="G42" s="80"/>
      <c r="H42" s="77"/>
      <c r="I42" s="74"/>
      <c r="J42" s="74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1"/>
    </row>
    <row r="43" spans="1:29" ht="15" customHeight="1" x14ac:dyDescent="0.35">
      <c r="A43" s="1"/>
      <c r="B43" s="74">
        <v>5</v>
      </c>
      <c r="C43" s="74" t="s">
        <v>12</v>
      </c>
      <c r="D43" s="88" t="s">
        <v>19</v>
      </c>
      <c r="E43" s="88"/>
      <c r="F43" s="88"/>
      <c r="G43" s="88"/>
      <c r="H43" s="79" t="s">
        <v>10</v>
      </c>
      <c r="I43" s="74" t="s">
        <v>27</v>
      </c>
      <c r="J43" s="74"/>
      <c r="K43" s="75"/>
      <c r="L43" s="75"/>
      <c r="M43" s="75"/>
      <c r="N43" s="75"/>
      <c r="O43" s="75"/>
      <c r="P43" s="75"/>
      <c r="Q43" s="75"/>
      <c r="R43" s="75"/>
      <c r="S43" s="76"/>
      <c r="T43" s="75"/>
      <c r="U43" s="75"/>
      <c r="V43" s="75"/>
      <c r="W43" s="75"/>
      <c r="X43" s="75"/>
      <c r="Y43" s="1"/>
    </row>
    <row r="44" spans="1:29" ht="6" customHeight="1" x14ac:dyDescent="0.35">
      <c r="A44" s="1"/>
      <c r="B44" s="74"/>
      <c r="C44" s="74"/>
      <c r="D44" s="80"/>
      <c r="E44" s="80"/>
      <c r="F44" s="80"/>
      <c r="G44" s="80"/>
      <c r="H44" s="77"/>
      <c r="I44" s="74"/>
      <c r="J44" s="74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1"/>
    </row>
    <row r="45" spans="1:29" ht="47.25" customHeight="1" x14ac:dyDescent="0.35">
      <c r="A45" s="1"/>
      <c r="B45" s="74">
        <v>6</v>
      </c>
      <c r="C45" s="74" t="s">
        <v>12</v>
      </c>
      <c r="D45" s="88" t="s">
        <v>77</v>
      </c>
      <c r="E45" s="88"/>
      <c r="F45" s="88"/>
      <c r="G45" s="88"/>
      <c r="H45" s="77" t="s">
        <v>10</v>
      </c>
      <c r="I45" s="74" t="s">
        <v>26</v>
      </c>
      <c r="J45" s="74"/>
      <c r="K45" s="75"/>
      <c r="L45" s="75"/>
      <c r="M45" s="75"/>
      <c r="N45" s="75"/>
      <c r="O45" s="75"/>
      <c r="P45" s="75"/>
      <c r="Q45" s="75"/>
      <c r="R45" s="75"/>
      <c r="S45" s="76"/>
      <c r="T45" s="75"/>
      <c r="U45" s="75"/>
      <c r="V45" s="75"/>
      <c r="W45" s="75"/>
      <c r="X45" s="75"/>
      <c r="Y45" s="1"/>
    </row>
    <row r="46" spans="1:29" ht="6" customHeight="1" x14ac:dyDescent="0.35">
      <c r="A46" s="1"/>
      <c r="B46" s="74"/>
      <c r="C46" s="74"/>
      <c r="D46" s="80"/>
      <c r="E46" s="80"/>
      <c r="F46" s="80"/>
      <c r="G46" s="80"/>
      <c r="H46" s="77"/>
      <c r="I46" s="74"/>
      <c r="J46" s="74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1"/>
    </row>
    <row r="47" spans="1:29" ht="15" customHeight="1" x14ac:dyDescent="0.35">
      <c r="A47" s="1"/>
      <c r="B47" s="74">
        <v>7</v>
      </c>
      <c r="C47" s="74" t="s">
        <v>12</v>
      </c>
      <c r="D47" s="88" t="s">
        <v>84</v>
      </c>
      <c r="E47" s="88"/>
      <c r="F47" s="88"/>
      <c r="G47" s="88"/>
      <c r="H47" s="77" t="s">
        <v>10</v>
      </c>
      <c r="I47" s="74" t="s">
        <v>48</v>
      </c>
      <c r="J47" s="74"/>
      <c r="K47" s="74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1"/>
    </row>
    <row r="48" spans="1:29" ht="6" customHeight="1" x14ac:dyDescent="0.35">
      <c r="A48" s="1"/>
      <c r="B48" s="74"/>
      <c r="C48" s="74"/>
      <c r="D48" s="80"/>
      <c r="E48" s="80"/>
      <c r="F48" s="80"/>
      <c r="G48" s="80"/>
      <c r="H48" s="77"/>
      <c r="I48" s="74"/>
      <c r="J48" s="74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1"/>
    </row>
    <row r="49" spans="1:25" ht="33.75" customHeight="1" x14ac:dyDescent="0.35">
      <c r="A49" s="1"/>
      <c r="B49" s="74">
        <v>8</v>
      </c>
      <c r="C49" s="74" t="s">
        <v>12</v>
      </c>
      <c r="D49" s="88" t="str">
        <f>_xlfn.CONCAT("Per Mortgage Sandbox analysis, the annual Metro Vancouver population growth rate from 2001 to 2016 was ",TEXT(E10,"0.000%")," this is applied as the low growth rate scenario.")</f>
        <v>Per Mortgage Sandbox analysis, the annual Metro Vancouver population growth rate from 2001 to 2016 was 1.443% this is applied as the low growth rate scenario.</v>
      </c>
      <c r="E49" s="88"/>
      <c r="F49" s="88"/>
      <c r="G49" s="88"/>
      <c r="H49" s="77" t="s">
        <v>10</v>
      </c>
      <c r="I49" s="74" t="s">
        <v>48</v>
      </c>
      <c r="J49" s="74"/>
      <c r="K49" s="74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1"/>
    </row>
    <row r="50" spans="1:25" ht="6" customHeight="1" x14ac:dyDescent="0.35">
      <c r="A50" s="1"/>
      <c r="B50" s="74"/>
      <c r="C50" s="74"/>
      <c r="D50" s="80"/>
      <c r="E50" s="80"/>
      <c r="F50" s="80"/>
      <c r="G50" s="80"/>
      <c r="H50" s="77"/>
      <c r="I50" s="74"/>
      <c r="J50" s="74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1"/>
    </row>
    <row r="51" spans="1:25" x14ac:dyDescent="0.35">
      <c r="A51" s="1"/>
      <c r="B51" s="74">
        <v>9</v>
      </c>
      <c r="C51" s="74" t="s">
        <v>12</v>
      </c>
      <c r="D51" s="88" t="s">
        <v>85</v>
      </c>
      <c r="E51" s="88"/>
      <c r="F51" s="88"/>
      <c r="G51" s="88"/>
      <c r="H51" s="77" t="s">
        <v>10</v>
      </c>
      <c r="I51" s="74" t="s">
        <v>11</v>
      </c>
      <c r="J51" s="74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1"/>
    </row>
    <row r="52" spans="1:25" ht="6" customHeight="1" x14ac:dyDescent="0.35">
      <c r="A52" s="1"/>
      <c r="B52" s="74"/>
      <c r="C52" s="74"/>
      <c r="D52" s="80"/>
      <c r="E52" s="80"/>
      <c r="F52" s="80"/>
      <c r="G52" s="80"/>
      <c r="H52" s="77"/>
      <c r="I52" s="74"/>
      <c r="J52" s="74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1"/>
    </row>
    <row r="53" spans="1:25" x14ac:dyDescent="0.35">
      <c r="A53" s="1"/>
      <c r="B53" s="74">
        <v>10</v>
      </c>
      <c r="C53" s="74" t="s">
        <v>12</v>
      </c>
      <c r="D53" s="88" t="s">
        <v>80</v>
      </c>
      <c r="E53" s="88"/>
      <c r="F53" s="88"/>
      <c r="G53" s="88"/>
      <c r="H53" s="77" t="s">
        <v>10</v>
      </c>
      <c r="I53" s="74" t="s">
        <v>25</v>
      </c>
      <c r="J53" s="74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1"/>
    </row>
    <row r="54" spans="1:25" ht="6" customHeight="1" x14ac:dyDescent="0.35">
      <c r="A54" s="1"/>
      <c r="B54" s="74"/>
      <c r="C54" s="74"/>
      <c r="D54" s="80"/>
      <c r="E54" s="80"/>
      <c r="F54" s="80"/>
      <c r="G54" s="80"/>
      <c r="H54" s="77"/>
      <c r="I54" s="74"/>
      <c r="J54" s="74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1"/>
    </row>
    <row r="55" spans="1:25" ht="31.5" customHeight="1" x14ac:dyDescent="0.35">
      <c r="A55" s="1"/>
      <c r="B55" s="74">
        <v>11</v>
      </c>
      <c r="C55" s="74" t="s">
        <v>12</v>
      </c>
      <c r="D55" s="88" t="s">
        <v>78</v>
      </c>
      <c r="E55" s="88"/>
      <c r="F55" s="88"/>
      <c r="G55" s="88"/>
      <c r="H55" s="77"/>
      <c r="I55" s="74" t="s">
        <v>48</v>
      </c>
      <c r="J55" s="74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1"/>
    </row>
    <row r="56" spans="1:25" x14ac:dyDescent="0.35">
      <c r="A56" s="1"/>
      <c r="B56" s="14"/>
      <c r="C56" s="14"/>
      <c r="D56" s="1"/>
      <c r="E56" s="1"/>
      <c r="F56" s="1"/>
      <c r="G56" s="1"/>
      <c r="H56" s="1"/>
      <c r="I56" s="1"/>
      <c r="J56" s="1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35">
      <c r="A57" s="1"/>
      <c r="B57" s="14"/>
      <c r="C57" s="14"/>
      <c r="D57" s="14"/>
      <c r="E57" s="14"/>
      <c r="F57" s="14"/>
      <c r="G57" s="14"/>
      <c r="H57" s="15"/>
      <c r="I57" s="14"/>
      <c r="J57" s="1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35">
      <c r="A58" s="1"/>
      <c r="B58" s="14"/>
      <c r="C58" s="14"/>
      <c r="D58" s="14"/>
      <c r="E58" s="14"/>
      <c r="F58" s="14"/>
      <c r="G58" s="14"/>
      <c r="H58" s="15"/>
      <c r="I58" s="14"/>
      <c r="J58" s="1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2" x14ac:dyDescent="0.65">
      <c r="A59" s="1"/>
      <c r="B59" s="1"/>
      <c r="C59" s="1"/>
      <c r="D59" s="2" t="str">
        <f>_xlfn.CONCAT("B. Higher Growth Rate - Unmet Demand Forecast (",TEXT(E61,"0.00%")," Growth Rate)")</f>
        <v>B. Higher Growth Rate - Unmet Demand Forecast (2.15% Growth Rate)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35">
      <c r="A60" s="1"/>
      <c r="B60" s="1"/>
      <c r="C60" s="1"/>
      <c r="D60" s="17" t="str">
        <f>_xlfn.CONCAT("Required housing to accommodate approximately ",TEXT(E61,"0.00%")," forecast annual Metro Vancouver population growth from 2017-2021.")</f>
        <v>Required housing to accommodate approximately 2.15% forecast annual Metro Vancouver population growth from 2017-2021.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35">
      <c r="A61" s="1"/>
      <c r="B61" s="1"/>
      <c r="C61" s="1"/>
      <c r="D61" s="39" t="s">
        <v>58</v>
      </c>
      <c r="E61" s="81">
        <f>'Population Growth Analysis'!H31</f>
        <v>2.150499266942818E-2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35">
      <c r="A62" s="1"/>
      <c r="B62" s="1"/>
      <c r="C62" s="1"/>
      <c r="D62" s="4"/>
      <c r="E62" s="5">
        <v>2003</v>
      </c>
      <c r="F62" s="5">
        <v>2004</v>
      </c>
      <c r="G62" s="5">
        <v>2005</v>
      </c>
      <c r="H62" s="5">
        <v>2006</v>
      </c>
      <c r="I62" s="5">
        <v>2007</v>
      </c>
      <c r="J62" s="5">
        <v>2008</v>
      </c>
      <c r="K62" s="5">
        <v>2009</v>
      </c>
      <c r="L62" s="5">
        <v>2010</v>
      </c>
      <c r="M62" s="5">
        <v>2011</v>
      </c>
      <c r="N62" s="5">
        <v>2012</v>
      </c>
      <c r="O62" s="5">
        <v>2013</v>
      </c>
      <c r="P62" s="5">
        <v>2014</v>
      </c>
      <c r="Q62" s="5">
        <v>2015</v>
      </c>
      <c r="R62" s="5">
        <v>2016</v>
      </c>
      <c r="S62" s="5">
        <v>2017</v>
      </c>
      <c r="T62" s="5" t="s">
        <v>6</v>
      </c>
      <c r="U62" s="5" t="s">
        <v>7</v>
      </c>
      <c r="V62" s="5" t="s">
        <v>8</v>
      </c>
      <c r="W62" s="5" t="s">
        <v>45</v>
      </c>
      <c r="X62" s="5" t="s">
        <v>1</v>
      </c>
      <c r="Y62" s="1"/>
    </row>
    <row r="63" spans="1:25" x14ac:dyDescent="0.35">
      <c r="A63" s="1"/>
      <c r="B63" s="31" t="s">
        <v>61</v>
      </c>
      <c r="C63" s="1"/>
      <c r="D63" s="6" t="s">
        <v>0</v>
      </c>
      <c r="E63" s="7">
        <v>15626</v>
      </c>
      <c r="F63" s="7">
        <v>19430</v>
      </c>
      <c r="G63" s="7">
        <v>18914</v>
      </c>
      <c r="H63" s="7">
        <v>18705</v>
      </c>
      <c r="I63" s="7">
        <v>20736</v>
      </c>
      <c r="J63" s="7">
        <v>19591</v>
      </c>
      <c r="K63" s="7">
        <v>8339</v>
      </c>
      <c r="L63" s="7">
        <v>15217</v>
      </c>
      <c r="M63" s="7">
        <v>17867</v>
      </c>
      <c r="N63" s="7">
        <v>19027</v>
      </c>
      <c r="O63" s="7">
        <v>18696</v>
      </c>
      <c r="P63" s="7">
        <v>19212</v>
      </c>
      <c r="Q63" s="7">
        <v>20863</v>
      </c>
      <c r="R63" s="7">
        <v>27914</v>
      </c>
      <c r="S63" s="7">
        <v>26204</v>
      </c>
      <c r="T63" s="65">
        <v>25234</v>
      </c>
      <c r="U63" s="65"/>
      <c r="V63" s="65"/>
      <c r="W63" s="65"/>
      <c r="X63" s="37">
        <f>AVERAGE(E63:T63)</f>
        <v>19473.4375</v>
      </c>
      <c r="Y63" s="1"/>
    </row>
    <row r="64" spans="1:25" x14ac:dyDescent="0.35">
      <c r="A64" s="1"/>
      <c r="B64" s="31" t="s">
        <v>62</v>
      </c>
      <c r="C64" s="1"/>
      <c r="D64" s="6" t="s">
        <v>5</v>
      </c>
      <c r="E64" s="7">
        <v>13394</v>
      </c>
      <c r="F64" s="7">
        <v>14302</v>
      </c>
      <c r="G64" s="7">
        <v>15834</v>
      </c>
      <c r="H64" s="7">
        <v>18072</v>
      </c>
      <c r="I64" s="7">
        <v>17816</v>
      </c>
      <c r="J64" s="7">
        <v>19150</v>
      </c>
      <c r="K64" s="7">
        <v>16788</v>
      </c>
      <c r="L64" s="7">
        <v>16474</v>
      </c>
      <c r="M64" s="7">
        <v>12919</v>
      </c>
      <c r="N64" s="7">
        <v>16958</v>
      </c>
      <c r="O64" s="7">
        <v>18392</v>
      </c>
      <c r="P64" s="7">
        <v>17731</v>
      </c>
      <c r="Q64" s="7">
        <v>17346</v>
      </c>
      <c r="R64" s="7">
        <v>18148</v>
      </c>
      <c r="S64" s="7">
        <v>21806</v>
      </c>
      <c r="T64" s="65">
        <f>AVERAGE(R63:S63)</f>
        <v>27059</v>
      </c>
      <c r="U64" s="65">
        <f t="shared" ref="U64" si="38">AVERAGE(S63:T63)</f>
        <v>25719</v>
      </c>
      <c r="V64" s="65">
        <f t="shared" ref="V64" si="39">AVERAGE(T63:U63)</f>
        <v>25234</v>
      </c>
      <c r="W64" s="65">
        <f>AVERAGE(T64:V64)</f>
        <v>26004</v>
      </c>
      <c r="X64" s="37">
        <f>AVERAGE(E64:V64)</f>
        <v>18507.888888888891</v>
      </c>
      <c r="Y64" s="1"/>
    </row>
    <row r="65" spans="1:25" x14ac:dyDescent="0.35">
      <c r="A65" s="1"/>
      <c r="B65" s="31">
        <v>5</v>
      </c>
      <c r="C65" s="1"/>
      <c r="D65" s="6" t="s">
        <v>21</v>
      </c>
      <c r="E65" s="16">
        <f t="shared" ref="E65:W65" si="40">-E64*0.143</f>
        <v>-1915.3419999999999</v>
      </c>
      <c r="F65" s="16">
        <f t="shared" si="40"/>
        <v>-2045.1859999999999</v>
      </c>
      <c r="G65" s="16">
        <f t="shared" si="40"/>
        <v>-2264.2619999999997</v>
      </c>
      <c r="H65" s="16">
        <f t="shared" si="40"/>
        <v>-2584.2959999999998</v>
      </c>
      <c r="I65" s="16">
        <f t="shared" si="40"/>
        <v>-2547.6879999999996</v>
      </c>
      <c r="J65" s="16">
        <f t="shared" si="40"/>
        <v>-2738.45</v>
      </c>
      <c r="K65" s="16">
        <f t="shared" si="40"/>
        <v>-2400.6839999999997</v>
      </c>
      <c r="L65" s="16">
        <f t="shared" si="40"/>
        <v>-2355.7819999999997</v>
      </c>
      <c r="M65" s="16">
        <f t="shared" si="40"/>
        <v>-1847.4169999999999</v>
      </c>
      <c r="N65" s="16">
        <f t="shared" si="40"/>
        <v>-2424.9939999999997</v>
      </c>
      <c r="O65" s="16">
        <f t="shared" si="40"/>
        <v>-2630.0559999999996</v>
      </c>
      <c r="P65" s="16">
        <f t="shared" si="40"/>
        <v>-2535.5329999999999</v>
      </c>
      <c r="Q65" s="16">
        <f t="shared" si="40"/>
        <v>-2480.4779999999996</v>
      </c>
      <c r="R65" s="16">
        <f t="shared" si="40"/>
        <v>-2595.1639999999998</v>
      </c>
      <c r="S65" s="16">
        <f t="shared" si="40"/>
        <v>-3118.2579999999998</v>
      </c>
      <c r="T65" s="66">
        <f t="shared" si="40"/>
        <v>-3869.4369999999999</v>
      </c>
      <c r="U65" s="66">
        <f t="shared" si="40"/>
        <v>-3677.8169999999996</v>
      </c>
      <c r="V65" s="66">
        <f t="shared" si="40"/>
        <v>-3608.4619999999995</v>
      </c>
      <c r="W65" s="66">
        <f t="shared" si="40"/>
        <v>-3718.5719999999997</v>
      </c>
      <c r="X65" s="37">
        <f t="shared" ref="X65:X66" si="41">AVERAGE(E65:V65)</f>
        <v>-2646.6281111111111</v>
      </c>
      <c r="Y65" s="1"/>
    </row>
    <row r="66" spans="1:25" x14ac:dyDescent="0.35">
      <c r="A66" s="1"/>
      <c r="B66" s="31">
        <v>6</v>
      </c>
      <c r="C66" s="1"/>
      <c r="D66" s="6" t="s">
        <v>86</v>
      </c>
      <c r="E66" s="16">
        <f t="shared" ref="E66:W66" si="42">-E64*0.1</f>
        <v>-1339.4</v>
      </c>
      <c r="F66" s="16">
        <f t="shared" si="42"/>
        <v>-1430.2</v>
      </c>
      <c r="G66" s="16">
        <f t="shared" si="42"/>
        <v>-1583.4</v>
      </c>
      <c r="H66" s="16">
        <f t="shared" si="42"/>
        <v>-1807.2</v>
      </c>
      <c r="I66" s="16">
        <f t="shared" si="42"/>
        <v>-1781.6000000000001</v>
      </c>
      <c r="J66" s="16">
        <f t="shared" si="42"/>
        <v>-1915</v>
      </c>
      <c r="K66" s="16">
        <f t="shared" si="42"/>
        <v>-1678.8000000000002</v>
      </c>
      <c r="L66" s="16">
        <f t="shared" si="42"/>
        <v>-1647.4</v>
      </c>
      <c r="M66" s="16">
        <f t="shared" si="42"/>
        <v>-1291.9000000000001</v>
      </c>
      <c r="N66" s="16">
        <f t="shared" si="42"/>
        <v>-1695.8000000000002</v>
      </c>
      <c r="O66" s="16">
        <f t="shared" si="42"/>
        <v>-1839.2</v>
      </c>
      <c r="P66" s="16">
        <f t="shared" si="42"/>
        <v>-1773.1000000000001</v>
      </c>
      <c r="Q66" s="16">
        <f t="shared" si="42"/>
        <v>-1734.6000000000001</v>
      </c>
      <c r="R66" s="16">
        <f t="shared" si="42"/>
        <v>-1814.8000000000002</v>
      </c>
      <c r="S66" s="16">
        <f t="shared" si="42"/>
        <v>-2180.6</v>
      </c>
      <c r="T66" s="66">
        <f t="shared" si="42"/>
        <v>-2705.9</v>
      </c>
      <c r="U66" s="66">
        <f t="shared" si="42"/>
        <v>-2571.9</v>
      </c>
      <c r="V66" s="66">
        <f t="shared" si="42"/>
        <v>-2523.4</v>
      </c>
      <c r="W66" s="66">
        <f t="shared" si="42"/>
        <v>-2600.4</v>
      </c>
      <c r="X66" s="37">
        <f t="shared" si="41"/>
        <v>-1850.7888888888888</v>
      </c>
      <c r="Y66" s="1"/>
    </row>
    <row r="67" spans="1:25" x14ac:dyDescent="0.35">
      <c r="A67" s="1"/>
      <c r="B67" s="31"/>
      <c r="C67" s="1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7"/>
      <c r="U67" s="67"/>
      <c r="V67" s="67"/>
      <c r="W67" s="67"/>
      <c r="X67" s="37"/>
      <c r="Y67" s="1"/>
    </row>
    <row r="68" spans="1:25" x14ac:dyDescent="0.35">
      <c r="A68" s="1"/>
      <c r="B68" s="36"/>
      <c r="C68" s="1"/>
      <c r="D68" s="9" t="s">
        <v>4</v>
      </c>
      <c r="E68" s="12">
        <f t="shared" ref="E68:W68" si="43">SUM(E64:E66)</f>
        <v>10139.258</v>
      </c>
      <c r="F68" s="12">
        <f t="shared" si="43"/>
        <v>10826.614</v>
      </c>
      <c r="G68" s="12">
        <f t="shared" si="43"/>
        <v>11986.338000000002</v>
      </c>
      <c r="H68" s="12">
        <f t="shared" si="43"/>
        <v>13680.503999999999</v>
      </c>
      <c r="I68" s="12">
        <f t="shared" si="43"/>
        <v>13486.712</v>
      </c>
      <c r="J68" s="12">
        <f t="shared" si="43"/>
        <v>14496.55</v>
      </c>
      <c r="K68" s="12">
        <f t="shared" si="43"/>
        <v>12708.516</v>
      </c>
      <c r="L68" s="12">
        <f t="shared" si="43"/>
        <v>12470.818000000001</v>
      </c>
      <c r="M68" s="12">
        <f t="shared" si="43"/>
        <v>9779.6830000000009</v>
      </c>
      <c r="N68" s="12">
        <f t="shared" si="43"/>
        <v>12837.206000000002</v>
      </c>
      <c r="O68" s="12">
        <f t="shared" si="43"/>
        <v>13922.743999999999</v>
      </c>
      <c r="P68" s="12">
        <f t="shared" si="43"/>
        <v>13422.367</v>
      </c>
      <c r="Q68" s="12">
        <f t="shared" si="43"/>
        <v>13130.922</v>
      </c>
      <c r="R68" s="12">
        <f t="shared" si="43"/>
        <v>13738.036</v>
      </c>
      <c r="S68" s="12">
        <f t="shared" si="43"/>
        <v>16507.142</v>
      </c>
      <c r="T68" s="68">
        <f t="shared" si="43"/>
        <v>20483.663</v>
      </c>
      <c r="U68" s="68">
        <f t="shared" si="43"/>
        <v>19469.282999999999</v>
      </c>
      <c r="V68" s="68">
        <f t="shared" si="43"/>
        <v>19102.137999999999</v>
      </c>
      <c r="W68" s="68">
        <f t="shared" si="43"/>
        <v>19685.027999999998</v>
      </c>
      <c r="X68" s="37">
        <f t="shared" ref="X68" si="44">AVERAGE(E68:V68)</f>
        <v>14010.471888888887</v>
      </c>
      <c r="Y68" s="1"/>
    </row>
    <row r="69" spans="1:25" x14ac:dyDescent="0.35">
      <c r="A69" s="1"/>
      <c r="B69" s="31"/>
      <c r="C69" s="1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7"/>
      <c r="U69" s="67"/>
      <c r="V69" s="67"/>
      <c r="W69" s="67"/>
      <c r="X69" s="37"/>
      <c r="Y69" s="1"/>
    </row>
    <row r="70" spans="1:25" x14ac:dyDescent="0.35">
      <c r="A70" s="1"/>
      <c r="B70" s="31"/>
      <c r="C70" s="1"/>
      <c r="D70" s="6" t="s">
        <v>2</v>
      </c>
      <c r="E70" s="10">
        <f>ROUND(E71-E71/(1+E72),0)</f>
        <v>25594</v>
      </c>
      <c r="F70" s="10">
        <f t="shared" ref="F70:Q70" si="45">ROUND(F71-F71/(1+F72),0)</f>
        <v>25919</v>
      </c>
      <c r="G70" s="10">
        <f t="shared" si="45"/>
        <v>26249</v>
      </c>
      <c r="H70" s="10">
        <f t="shared" si="45"/>
        <v>26583</v>
      </c>
      <c r="I70" s="10">
        <f t="shared" si="45"/>
        <v>37963</v>
      </c>
      <c r="J70" s="10">
        <f t="shared" si="45"/>
        <v>38644</v>
      </c>
      <c r="K70" s="10">
        <f t="shared" si="45"/>
        <v>39337</v>
      </c>
      <c r="L70" s="10">
        <f t="shared" si="45"/>
        <v>40043</v>
      </c>
      <c r="M70" s="10">
        <f t="shared" si="45"/>
        <v>40761</v>
      </c>
      <c r="N70" s="10">
        <f t="shared" si="45"/>
        <v>29270</v>
      </c>
      <c r="O70" s="10">
        <f t="shared" si="45"/>
        <v>29641</v>
      </c>
      <c r="P70" s="10">
        <f t="shared" si="45"/>
        <v>30016</v>
      </c>
      <c r="Q70" s="10">
        <f t="shared" si="45"/>
        <v>30396</v>
      </c>
      <c r="R70" s="10">
        <f>ROUND(R71-R71/(1+R72),0)</f>
        <v>30780</v>
      </c>
      <c r="S70" s="10">
        <f>ROUND(R71*S72,0)</f>
        <v>52976</v>
      </c>
      <c r="T70" s="69">
        <f>ROUND(S71*T72,0)</f>
        <v>54115</v>
      </c>
      <c r="U70" s="69">
        <f t="shared" ref="U70:W70" si="46">ROUND(T71*U72,0)</f>
        <v>55279</v>
      </c>
      <c r="V70" s="69">
        <f t="shared" si="46"/>
        <v>56468</v>
      </c>
      <c r="W70" s="69">
        <f t="shared" si="46"/>
        <v>57682</v>
      </c>
      <c r="X70" s="37">
        <f t="shared" ref="X70" si="47">AVERAGE(E70:V70)</f>
        <v>37224.111111111109</v>
      </c>
      <c r="Y70" s="1"/>
    </row>
    <row r="71" spans="1:25" x14ac:dyDescent="0.35">
      <c r="A71" s="1"/>
      <c r="B71" s="31">
        <v>7</v>
      </c>
      <c r="C71" s="1"/>
      <c r="D71" s="6" t="s">
        <v>46</v>
      </c>
      <c r="E71" s="10">
        <f>F71-F70</f>
        <v>2037830</v>
      </c>
      <c r="F71" s="10">
        <f>G71-G70</f>
        <v>2063749</v>
      </c>
      <c r="G71" s="10">
        <f>H71-H70</f>
        <v>2089998</v>
      </c>
      <c r="H71" s="10">
        <v>2116581</v>
      </c>
      <c r="I71" s="10">
        <f>J71-J70</f>
        <v>2154543</v>
      </c>
      <c r="J71" s="10">
        <f>K71-K70</f>
        <v>2193187</v>
      </c>
      <c r="K71" s="10">
        <f>L71-L70</f>
        <v>2232524</v>
      </c>
      <c r="L71" s="10">
        <f>M71-M70</f>
        <v>2272567</v>
      </c>
      <c r="M71" s="10">
        <v>2313328</v>
      </c>
      <c r="N71" s="10">
        <f>O71-O70</f>
        <v>2342598</v>
      </c>
      <c r="O71" s="10">
        <f>P71-P70</f>
        <v>2372239</v>
      </c>
      <c r="P71" s="10">
        <f>Q71-Q70</f>
        <v>2402255</v>
      </c>
      <c r="Q71" s="10">
        <f>R71-R70</f>
        <v>2432651</v>
      </c>
      <c r="R71" s="10">
        <v>2463431</v>
      </c>
      <c r="S71" s="10">
        <f>R71+S70</f>
        <v>2516407</v>
      </c>
      <c r="T71" s="69">
        <f>S71+T70</f>
        <v>2570522</v>
      </c>
      <c r="U71" s="69">
        <f>T71+U70</f>
        <v>2625801</v>
      </c>
      <c r="V71" s="69">
        <f>U71+V70</f>
        <v>2682269</v>
      </c>
      <c r="W71" s="69">
        <f>V71+W70</f>
        <v>2739951</v>
      </c>
      <c r="X71" s="37"/>
      <c r="Y71" s="1"/>
    </row>
    <row r="72" spans="1:25" x14ac:dyDescent="0.35">
      <c r="A72" s="1"/>
      <c r="B72" s="31">
        <v>8</v>
      </c>
      <c r="C72" s="1"/>
      <c r="D72" s="6" t="s">
        <v>47</v>
      </c>
      <c r="E72" s="63">
        <f>'Population Growth Analysis'!$H$18</f>
        <v>1.2718946837372958E-2</v>
      </c>
      <c r="F72" s="63">
        <f>'Population Growth Analysis'!$H$18</f>
        <v>1.2718946837372958E-2</v>
      </c>
      <c r="G72" s="63">
        <f>'Population Growth Analysis'!$H$18</f>
        <v>1.2718946837372958E-2</v>
      </c>
      <c r="H72" s="63">
        <f>'Population Growth Analysis'!$H$18</f>
        <v>1.2718946837372958E-2</v>
      </c>
      <c r="I72" s="63">
        <f>'Population Growth Analysis'!$H$20</f>
        <v>1.7935977703644079E-2</v>
      </c>
      <c r="J72" s="63">
        <f>'Population Growth Analysis'!$H$20</f>
        <v>1.7935977703644079E-2</v>
      </c>
      <c r="K72" s="63">
        <f>'Population Growth Analysis'!$H$20</f>
        <v>1.7935977703644079E-2</v>
      </c>
      <c r="L72" s="63">
        <f>'Population Growth Analysis'!$H$20</f>
        <v>1.7935977703644079E-2</v>
      </c>
      <c r="M72" s="63">
        <f>'Population Growth Analysis'!$H$20</f>
        <v>1.7935977703644079E-2</v>
      </c>
      <c r="N72" s="63">
        <f>'Population Growth Analysis'!$H$22</f>
        <v>1.2652962499257736E-2</v>
      </c>
      <c r="O72" s="63">
        <f>'Population Growth Analysis'!$H$22</f>
        <v>1.2652962499257736E-2</v>
      </c>
      <c r="P72" s="63">
        <f>'Population Growth Analysis'!$H$22</f>
        <v>1.2652962499257736E-2</v>
      </c>
      <c r="Q72" s="63">
        <f>'Population Growth Analysis'!$H$22</f>
        <v>1.2652962499257736E-2</v>
      </c>
      <c r="R72" s="63">
        <f>'Population Growth Analysis'!$H$22</f>
        <v>1.2652962499257736E-2</v>
      </c>
      <c r="S72" s="63">
        <f>'Population Growth Analysis'!$H$31</f>
        <v>2.150499266942818E-2</v>
      </c>
      <c r="T72" s="70">
        <f>'Population Growth Analysis'!$H$31</f>
        <v>2.150499266942818E-2</v>
      </c>
      <c r="U72" s="70">
        <f>'Population Growth Analysis'!$H$31</f>
        <v>2.150499266942818E-2</v>
      </c>
      <c r="V72" s="70">
        <f>'Population Growth Analysis'!$H$31</f>
        <v>2.150499266942818E-2</v>
      </c>
      <c r="W72" s="70">
        <f>'Population Growth Analysis'!$H$31</f>
        <v>2.150499266942818E-2</v>
      </c>
      <c r="X72" s="64"/>
      <c r="Y72" s="1"/>
    </row>
    <row r="73" spans="1:25" x14ac:dyDescent="0.35">
      <c r="A73" s="1"/>
      <c r="B73" s="31"/>
      <c r="C73" s="1"/>
      <c r="D73" s="6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69"/>
      <c r="U73" s="69"/>
      <c r="V73" s="69"/>
      <c r="W73" s="69"/>
      <c r="X73" s="37"/>
      <c r="Y73" s="1"/>
    </row>
    <row r="74" spans="1:25" x14ac:dyDescent="0.35">
      <c r="A74" s="1"/>
      <c r="B74" s="31">
        <v>9</v>
      </c>
      <c r="C74" s="1"/>
      <c r="D74" s="6" t="s">
        <v>15</v>
      </c>
      <c r="E74" s="10">
        <f t="shared" ref="E74:W74" si="48">E70/2.5</f>
        <v>10237.6</v>
      </c>
      <c r="F74" s="10">
        <f t="shared" si="48"/>
        <v>10367.6</v>
      </c>
      <c r="G74" s="10">
        <f t="shared" si="48"/>
        <v>10499.6</v>
      </c>
      <c r="H74" s="10">
        <f t="shared" si="48"/>
        <v>10633.2</v>
      </c>
      <c r="I74" s="10">
        <f t="shared" si="48"/>
        <v>15185.2</v>
      </c>
      <c r="J74" s="10">
        <f t="shared" si="48"/>
        <v>15457.6</v>
      </c>
      <c r="K74" s="10">
        <f t="shared" si="48"/>
        <v>15734.8</v>
      </c>
      <c r="L74" s="10">
        <f t="shared" si="48"/>
        <v>16017.2</v>
      </c>
      <c r="M74" s="10">
        <f t="shared" si="48"/>
        <v>16304.4</v>
      </c>
      <c r="N74" s="10">
        <f t="shared" si="48"/>
        <v>11708</v>
      </c>
      <c r="O74" s="10">
        <f t="shared" si="48"/>
        <v>11856.4</v>
      </c>
      <c r="P74" s="10">
        <f t="shared" si="48"/>
        <v>12006.4</v>
      </c>
      <c r="Q74" s="10">
        <f t="shared" si="48"/>
        <v>12158.4</v>
      </c>
      <c r="R74" s="10">
        <f t="shared" si="48"/>
        <v>12312</v>
      </c>
      <c r="S74" s="10">
        <f t="shared" si="48"/>
        <v>21190.400000000001</v>
      </c>
      <c r="T74" s="69">
        <f t="shared" si="48"/>
        <v>21646</v>
      </c>
      <c r="U74" s="69">
        <f t="shared" si="48"/>
        <v>22111.599999999999</v>
      </c>
      <c r="V74" s="69">
        <f t="shared" si="48"/>
        <v>22587.200000000001</v>
      </c>
      <c r="W74" s="69">
        <f t="shared" si="48"/>
        <v>23072.799999999999</v>
      </c>
      <c r="X74" s="37">
        <f t="shared" ref="X74" si="49">AVERAGE(E74:V74)</f>
        <v>14889.644444444442</v>
      </c>
      <c r="Y74" s="1"/>
    </row>
    <row r="75" spans="1:25" x14ac:dyDescent="0.35">
      <c r="A75" s="1"/>
      <c r="B75" s="31"/>
      <c r="C75" s="1"/>
      <c r="D75" s="6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69"/>
      <c r="U75" s="69"/>
      <c r="V75" s="69"/>
      <c r="W75" s="69"/>
      <c r="X75" s="37"/>
      <c r="Y75" s="1"/>
    </row>
    <row r="76" spans="1:25" x14ac:dyDescent="0.35">
      <c r="A76" s="1"/>
      <c r="B76" s="31">
        <v>10</v>
      </c>
      <c r="C76" s="1"/>
      <c r="D76" s="6" t="s">
        <v>49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>
        <v>348700</v>
      </c>
      <c r="S76" s="10">
        <f>R76+S64+S65</f>
        <v>367387.74200000003</v>
      </c>
      <c r="T76" s="69">
        <f t="shared" ref="T76" si="50">S76+T64+T65</f>
        <v>390577.30500000005</v>
      </c>
      <c r="U76" s="69">
        <f>T76+U64+U65</f>
        <v>412618.48800000007</v>
      </c>
      <c r="V76" s="69">
        <f t="shared" ref="V76:W76" si="51">U76+V64+V65</f>
        <v>434244.02600000007</v>
      </c>
      <c r="W76" s="69">
        <f t="shared" si="51"/>
        <v>456529.45400000009</v>
      </c>
      <c r="X76" s="37"/>
      <c r="Y76" s="1"/>
    </row>
    <row r="77" spans="1:25" x14ac:dyDescent="0.35">
      <c r="A77" s="1"/>
      <c r="B77" s="31">
        <v>11</v>
      </c>
      <c r="C77" s="1"/>
      <c r="D77" s="6" t="s">
        <v>23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69"/>
      <c r="U77" s="69">
        <f>($W$127*3%)/3</f>
        <v>4565.2945400000008</v>
      </c>
      <c r="V77" s="69">
        <f>($W$127*3%)/3</f>
        <v>4565.2945400000008</v>
      </c>
      <c r="W77" s="69">
        <f>($W$127*3%)/3</f>
        <v>4565.2945400000008</v>
      </c>
      <c r="X77" s="37"/>
      <c r="Y77" s="1"/>
    </row>
    <row r="78" spans="1:25" x14ac:dyDescent="0.35">
      <c r="A78" s="1"/>
      <c r="B78" s="1"/>
      <c r="C78" s="31"/>
      <c r="D78" s="6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69"/>
      <c r="U78" s="69"/>
      <c r="V78" s="69"/>
      <c r="W78" s="69"/>
      <c r="X78" s="7"/>
      <c r="Y78" s="1"/>
    </row>
    <row r="79" spans="1:25" x14ac:dyDescent="0.35">
      <c r="A79" s="1"/>
      <c r="B79" s="1"/>
      <c r="C79" s="31"/>
      <c r="D79" s="6" t="s">
        <v>3</v>
      </c>
      <c r="E79" s="32">
        <f t="shared" ref="E79:W79" si="52">E68-E74-E77</f>
        <v>-98.342000000000553</v>
      </c>
      <c r="F79" s="32">
        <f t="shared" si="52"/>
        <v>459.01399999999921</v>
      </c>
      <c r="G79" s="32">
        <f t="shared" si="52"/>
        <v>1486.7380000000012</v>
      </c>
      <c r="H79" s="32">
        <f t="shared" si="52"/>
        <v>3047.3039999999983</v>
      </c>
      <c r="I79" s="32">
        <f t="shared" si="52"/>
        <v>-1698.4880000000012</v>
      </c>
      <c r="J79" s="32">
        <f t="shared" si="52"/>
        <v>-961.05000000000109</v>
      </c>
      <c r="K79" s="32">
        <f t="shared" si="52"/>
        <v>-3026.2839999999997</v>
      </c>
      <c r="L79" s="32">
        <f t="shared" si="52"/>
        <v>-3546.3819999999996</v>
      </c>
      <c r="M79" s="32">
        <f t="shared" si="52"/>
        <v>-6524.7169999999987</v>
      </c>
      <c r="N79" s="32">
        <f t="shared" si="52"/>
        <v>1129.2060000000019</v>
      </c>
      <c r="O79" s="32">
        <f t="shared" si="52"/>
        <v>2066.3439999999991</v>
      </c>
      <c r="P79" s="32">
        <f t="shared" si="52"/>
        <v>1415.9670000000006</v>
      </c>
      <c r="Q79" s="32">
        <f t="shared" si="52"/>
        <v>972.52200000000084</v>
      </c>
      <c r="R79" s="32">
        <f t="shared" si="52"/>
        <v>1426.0360000000001</v>
      </c>
      <c r="S79" s="32">
        <f t="shared" si="52"/>
        <v>-4683.2580000000016</v>
      </c>
      <c r="T79" s="71">
        <f t="shared" si="52"/>
        <v>-1162.3369999999995</v>
      </c>
      <c r="U79" s="71">
        <f t="shared" si="52"/>
        <v>-7207.6115399999999</v>
      </c>
      <c r="V79" s="71">
        <f t="shared" si="52"/>
        <v>-8050.3565400000025</v>
      </c>
      <c r="W79" s="71">
        <f t="shared" si="52"/>
        <v>-7953.0665400000016</v>
      </c>
      <c r="X79" s="37">
        <f t="shared" ref="X79" si="53">AVERAGE(E79:V79)</f>
        <v>-1386.4275044444448</v>
      </c>
      <c r="Y79" s="1"/>
    </row>
    <row r="80" spans="1:25" x14ac:dyDescent="0.35">
      <c r="A80" s="1"/>
      <c r="B80" s="1"/>
      <c r="C80" s="1"/>
      <c r="D80" s="6"/>
      <c r="E80" s="19">
        <f t="shared" ref="E80:V80" si="54">E62</f>
        <v>2003</v>
      </c>
      <c r="F80" s="19">
        <f t="shared" si="54"/>
        <v>2004</v>
      </c>
      <c r="G80" s="19">
        <f t="shared" si="54"/>
        <v>2005</v>
      </c>
      <c r="H80" s="19">
        <f t="shared" si="54"/>
        <v>2006</v>
      </c>
      <c r="I80" s="19">
        <f t="shared" si="54"/>
        <v>2007</v>
      </c>
      <c r="J80" s="19">
        <f t="shared" si="54"/>
        <v>2008</v>
      </c>
      <c r="K80" s="19">
        <f t="shared" si="54"/>
        <v>2009</v>
      </c>
      <c r="L80" s="19">
        <f t="shared" si="54"/>
        <v>2010</v>
      </c>
      <c r="M80" s="19">
        <f t="shared" si="54"/>
        <v>2011</v>
      </c>
      <c r="N80" s="19">
        <f t="shared" si="54"/>
        <v>2012</v>
      </c>
      <c r="O80" s="19">
        <f t="shared" si="54"/>
        <v>2013</v>
      </c>
      <c r="P80" s="19">
        <f t="shared" si="54"/>
        <v>2014</v>
      </c>
      <c r="Q80" s="19">
        <f t="shared" si="54"/>
        <v>2015</v>
      </c>
      <c r="R80" s="19">
        <f t="shared" si="54"/>
        <v>2016</v>
      </c>
      <c r="S80" s="19">
        <f t="shared" si="54"/>
        <v>2017</v>
      </c>
      <c r="T80" s="72" t="str">
        <f t="shared" si="54"/>
        <v>2018F</v>
      </c>
      <c r="U80" s="72" t="str">
        <f t="shared" si="54"/>
        <v>2019F</v>
      </c>
      <c r="V80" s="72" t="str">
        <f t="shared" si="54"/>
        <v>2020F</v>
      </c>
      <c r="W80" s="72"/>
      <c r="X80" s="7"/>
      <c r="Y80" s="1"/>
    </row>
    <row r="81" spans="1:25" x14ac:dyDescent="0.35">
      <c r="A81" s="1"/>
      <c r="B81" s="1"/>
      <c r="C81" s="1"/>
      <c r="D81" s="11" t="s">
        <v>22</v>
      </c>
      <c r="E81" s="32">
        <f>E79</f>
        <v>-98.342000000000553</v>
      </c>
      <c r="F81" s="32">
        <f>E81+F79</f>
        <v>360.67199999999866</v>
      </c>
      <c r="G81" s="32">
        <f t="shared" ref="G81" si="55">F81+G79</f>
        <v>1847.4099999999999</v>
      </c>
      <c r="H81" s="32">
        <f t="shared" ref="H81" si="56">G81+H79</f>
        <v>4894.7139999999981</v>
      </c>
      <c r="I81" s="32">
        <f t="shared" ref="I81" si="57">H81+I79</f>
        <v>3196.2259999999969</v>
      </c>
      <c r="J81" s="32">
        <f t="shared" ref="J81" si="58">I81+J79</f>
        <v>2235.1759999999958</v>
      </c>
      <c r="K81" s="32">
        <f t="shared" ref="K81" si="59">J81+K79</f>
        <v>-791.10800000000381</v>
      </c>
      <c r="L81" s="32">
        <f t="shared" ref="L81" si="60">K81+L79</f>
        <v>-4337.4900000000034</v>
      </c>
      <c r="M81" s="32">
        <f t="shared" ref="M81" si="61">L81+M79</f>
        <v>-10862.207000000002</v>
      </c>
      <c r="N81" s="32">
        <f t="shared" ref="N81" si="62">M81+N79</f>
        <v>-9733.0010000000002</v>
      </c>
      <c r="O81" s="32">
        <f t="shared" ref="O81" si="63">N81+O79</f>
        <v>-7666.6570000000011</v>
      </c>
      <c r="P81" s="32">
        <f t="shared" ref="P81" si="64">O81+P79</f>
        <v>-6250.6900000000005</v>
      </c>
      <c r="Q81" s="32">
        <f t="shared" ref="Q81" si="65">P81+Q79</f>
        <v>-5278.1679999999997</v>
      </c>
      <c r="R81" s="32">
        <f t="shared" ref="R81" si="66">Q81+R79</f>
        <v>-3852.1319999999996</v>
      </c>
      <c r="S81" s="32">
        <f t="shared" ref="S81" si="67">R81+S79</f>
        <v>-8535.3900000000012</v>
      </c>
      <c r="T81" s="71">
        <f t="shared" ref="T81" si="68">S81+T79</f>
        <v>-9697.7270000000008</v>
      </c>
      <c r="U81" s="71">
        <f t="shared" ref="U81" si="69">T81+U79</f>
        <v>-16905.338540000001</v>
      </c>
      <c r="V81" s="71">
        <f t="shared" ref="V81" si="70">U81+V79</f>
        <v>-24955.695080000005</v>
      </c>
      <c r="W81" s="71">
        <f>V81+W79</f>
        <v>-32908.761620000005</v>
      </c>
      <c r="X81" s="32"/>
      <c r="Y81" s="1"/>
    </row>
    <row r="82" spans="1:2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35">
      <c r="A83" s="1"/>
      <c r="B83" s="1"/>
      <c r="C83" s="1"/>
      <c r="D83" s="21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3" t="s">
        <v>9</v>
      </c>
      <c r="Q83" s="24">
        <v>960895</v>
      </c>
      <c r="R83" s="24">
        <f t="shared" ref="R83" si="71">Q83+R74</f>
        <v>973207</v>
      </c>
      <c r="S83" s="24">
        <f t="shared" ref="S83" si="72">R83+S74</f>
        <v>994397.4</v>
      </c>
      <c r="T83" s="24">
        <f t="shared" ref="T83" si="73">S83+T74</f>
        <v>1016043.4</v>
      </c>
      <c r="U83" s="24">
        <f t="shared" ref="U83" si="74">T83+U74</f>
        <v>1038155</v>
      </c>
      <c r="V83" s="24">
        <f t="shared" ref="V83" si="75">U83+V74</f>
        <v>1060742.2</v>
      </c>
      <c r="W83" s="24">
        <f t="shared" ref="W83" si="76">V83+W74</f>
        <v>1083815</v>
      </c>
      <c r="X83" s="25"/>
      <c r="Y83" s="1"/>
    </row>
    <row r="84" spans="1:25" x14ac:dyDescent="0.35">
      <c r="A84" s="1"/>
      <c r="B84" s="1"/>
      <c r="C84" s="1"/>
      <c r="D84" s="26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8" t="s">
        <v>16</v>
      </c>
      <c r="Q84" s="29">
        <f t="shared" ref="Q84:V84" si="77">Q81/Q83</f>
        <v>-5.4929706159361838E-3</v>
      </c>
      <c r="R84" s="29">
        <f t="shared" si="77"/>
        <v>-3.9581836135580608E-3</v>
      </c>
      <c r="S84" s="29">
        <f t="shared" si="77"/>
        <v>-8.5834798039496098E-3</v>
      </c>
      <c r="T84" s="29">
        <f t="shared" si="77"/>
        <v>-9.5445991775548172E-3</v>
      </c>
      <c r="U84" s="29">
        <f t="shared" si="77"/>
        <v>-1.6284021692329179E-2</v>
      </c>
      <c r="V84" s="29">
        <f t="shared" si="77"/>
        <v>-2.3526635482212364E-2</v>
      </c>
      <c r="W84" s="29">
        <f>W81/W83</f>
        <v>-3.0363818197755157E-2</v>
      </c>
      <c r="X84" s="30"/>
      <c r="Y84" s="1"/>
    </row>
    <row r="85" spans="1:25" x14ac:dyDescent="0.35">
      <c r="A85" s="1"/>
      <c r="B85" s="1"/>
      <c r="C85" s="1"/>
      <c r="D85" s="13" t="s">
        <v>17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"/>
    </row>
    <row r="86" spans="1:25" x14ac:dyDescent="0.35">
      <c r="A86" s="1"/>
      <c r="B86" s="74">
        <v>1</v>
      </c>
      <c r="C86" s="74" t="s">
        <v>12</v>
      </c>
      <c r="D86" s="88" t="s">
        <v>81</v>
      </c>
      <c r="E86" s="88"/>
      <c r="F86" s="88"/>
      <c r="G86" s="88"/>
      <c r="H86" s="77" t="s">
        <v>10</v>
      </c>
      <c r="I86" s="74" t="s">
        <v>14</v>
      </c>
      <c r="J86" s="74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1"/>
    </row>
    <row r="87" spans="1:25" ht="6" customHeight="1" x14ac:dyDescent="0.35">
      <c r="A87" s="1"/>
      <c r="B87" s="74"/>
      <c r="C87" s="74"/>
      <c r="D87" s="80"/>
      <c r="E87" s="80"/>
      <c r="F87" s="80"/>
      <c r="G87" s="80"/>
      <c r="H87" s="77"/>
      <c r="I87" s="74"/>
      <c r="J87" s="74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1"/>
    </row>
    <row r="88" spans="1:25" x14ac:dyDescent="0.35">
      <c r="A88" s="1"/>
      <c r="B88" s="74">
        <v>2</v>
      </c>
      <c r="C88" s="74"/>
      <c r="D88" s="88" t="s">
        <v>82</v>
      </c>
      <c r="E88" s="88"/>
      <c r="F88" s="88"/>
      <c r="G88" s="88"/>
      <c r="H88" s="77" t="s">
        <v>10</v>
      </c>
      <c r="I88" s="74" t="s">
        <v>63</v>
      </c>
      <c r="J88" s="74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1"/>
    </row>
    <row r="89" spans="1:25" ht="6" customHeight="1" x14ac:dyDescent="0.35">
      <c r="A89" s="1"/>
      <c r="B89" s="74"/>
      <c r="C89" s="74"/>
      <c r="D89" s="80"/>
      <c r="E89" s="80"/>
      <c r="F89" s="80"/>
      <c r="G89" s="80"/>
      <c r="H89" s="77"/>
      <c r="I89" s="74"/>
      <c r="J89" s="74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1"/>
    </row>
    <row r="90" spans="1:25" x14ac:dyDescent="0.35">
      <c r="A90" s="1"/>
      <c r="B90" s="74">
        <v>3</v>
      </c>
      <c r="C90" s="74" t="s">
        <v>12</v>
      </c>
      <c r="D90" s="88" t="s">
        <v>83</v>
      </c>
      <c r="E90" s="88"/>
      <c r="F90" s="88"/>
      <c r="G90" s="88"/>
      <c r="H90" s="77" t="s">
        <v>10</v>
      </c>
      <c r="I90" s="74" t="s">
        <v>14</v>
      </c>
      <c r="J90" s="74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1"/>
    </row>
    <row r="91" spans="1:25" ht="6" customHeight="1" x14ac:dyDescent="0.35">
      <c r="A91" s="1"/>
      <c r="B91" s="74"/>
      <c r="C91" s="74"/>
      <c r="D91" s="80"/>
      <c r="E91" s="80"/>
      <c r="F91" s="80"/>
      <c r="G91" s="80"/>
      <c r="H91" s="77"/>
      <c r="I91" s="74"/>
      <c r="J91" s="74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1"/>
    </row>
    <row r="92" spans="1:25" ht="48.75" customHeight="1" x14ac:dyDescent="0.35">
      <c r="A92" s="1"/>
      <c r="B92" s="74">
        <v>4</v>
      </c>
      <c r="C92" s="74" t="s">
        <v>12</v>
      </c>
      <c r="D92" s="88" t="s">
        <v>64</v>
      </c>
      <c r="E92" s="88"/>
      <c r="F92" s="88"/>
      <c r="G92" s="88"/>
      <c r="H92" s="78"/>
      <c r="I92" s="74" t="s">
        <v>13</v>
      </c>
      <c r="J92" s="74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1"/>
    </row>
    <row r="93" spans="1:25" ht="6" customHeight="1" x14ac:dyDescent="0.35">
      <c r="A93" s="1"/>
      <c r="B93" s="74"/>
      <c r="C93" s="74"/>
      <c r="D93" s="80"/>
      <c r="E93" s="80"/>
      <c r="F93" s="80"/>
      <c r="G93" s="80"/>
      <c r="H93" s="77"/>
      <c r="I93" s="74"/>
      <c r="J93" s="74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1"/>
    </row>
    <row r="94" spans="1:25" ht="15" customHeight="1" x14ac:dyDescent="0.35">
      <c r="A94" s="1"/>
      <c r="B94" s="74">
        <v>5</v>
      </c>
      <c r="C94" s="74" t="s">
        <v>12</v>
      </c>
      <c r="D94" s="88" t="s">
        <v>19</v>
      </c>
      <c r="E94" s="88"/>
      <c r="F94" s="88"/>
      <c r="G94" s="88"/>
      <c r="H94" s="79" t="s">
        <v>10</v>
      </c>
      <c r="I94" s="74" t="s">
        <v>27</v>
      </c>
      <c r="J94" s="74"/>
      <c r="K94" s="75"/>
      <c r="L94" s="75"/>
      <c r="M94" s="75"/>
      <c r="N94" s="75"/>
      <c r="O94" s="75"/>
      <c r="P94" s="75"/>
      <c r="Q94" s="75"/>
      <c r="R94" s="75"/>
      <c r="S94" s="76"/>
      <c r="T94" s="75"/>
      <c r="U94" s="75"/>
      <c r="V94" s="75"/>
      <c r="W94" s="75"/>
      <c r="X94" s="75"/>
      <c r="Y94" s="1"/>
    </row>
    <row r="95" spans="1:25" ht="6" customHeight="1" x14ac:dyDescent="0.35">
      <c r="A95" s="1"/>
      <c r="B95" s="74"/>
      <c r="C95" s="74"/>
      <c r="D95" s="80"/>
      <c r="E95" s="80"/>
      <c r="F95" s="80"/>
      <c r="G95" s="80"/>
      <c r="H95" s="77"/>
      <c r="I95" s="74"/>
      <c r="J95" s="74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1"/>
    </row>
    <row r="96" spans="1:25" ht="47.25" customHeight="1" x14ac:dyDescent="0.35">
      <c r="A96" s="1"/>
      <c r="B96" s="74">
        <v>6</v>
      </c>
      <c r="C96" s="74" t="s">
        <v>12</v>
      </c>
      <c r="D96" s="88" t="s">
        <v>77</v>
      </c>
      <c r="E96" s="88"/>
      <c r="F96" s="88"/>
      <c r="G96" s="88"/>
      <c r="H96" s="77" t="s">
        <v>10</v>
      </c>
      <c r="I96" s="74" t="s">
        <v>26</v>
      </c>
      <c r="J96" s="74"/>
      <c r="K96" s="75"/>
      <c r="L96" s="75"/>
      <c r="M96" s="75"/>
      <c r="N96" s="75"/>
      <c r="O96" s="75"/>
      <c r="P96" s="75"/>
      <c r="Q96" s="75"/>
      <c r="R96" s="75"/>
      <c r="S96" s="76"/>
      <c r="T96" s="75"/>
      <c r="U96" s="75"/>
      <c r="V96" s="75"/>
      <c r="W96" s="75"/>
      <c r="X96" s="75"/>
      <c r="Y96" s="1"/>
    </row>
    <row r="97" spans="1:25" ht="6" customHeight="1" x14ac:dyDescent="0.35">
      <c r="A97" s="1"/>
      <c r="B97" s="74"/>
      <c r="C97" s="74"/>
      <c r="D97" s="80"/>
      <c r="E97" s="80"/>
      <c r="F97" s="80"/>
      <c r="G97" s="80"/>
      <c r="H97" s="77"/>
      <c r="I97" s="74"/>
      <c r="J97" s="74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1"/>
    </row>
    <row r="98" spans="1:25" ht="15" customHeight="1" x14ac:dyDescent="0.35">
      <c r="A98" s="1"/>
      <c r="B98" s="74">
        <v>7</v>
      </c>
      <c r="C98" s="74" t="s">
        <v>12</v>
      </c>
      <c r="D98" s="88" t="s">
        <v>84</v>
      </c>
      <c r="E98" s="88"/>
      <c r="F98" s="88"/>
      <c r="G98" s="88"/>
      <c r="H98" s="77" t="s">
        <v>10</v>
      </c>
      <c r="I98" s="74" t="s">
        <v>48</v>
      </c>
      <c r="J98" s="74"/>
      <c r="K98" s="74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1"/>
    </row>
    <row r="99" spans="1:25" ht="6" customHeight="1" x14ac:dyDescent="0.35">
      <c r="A99" s="1"/>
      <c r="B99" s="74"/>
      <c r="C99" s="74"/>
      <c r="D99" s="80"/>
      <c r="E99" s="80"/>
      <c r="F99" s="80"/>
      <c r="G99" s="80"/>
      <c r="H99" s="77"/>
      <c r="I99" s="74"/>
      <c r="J99" s="74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1"/>
    </row>
    <row r="100" spans="1:25" ht="33.75" customHeight="1" x14ac:dyDescent="0.35">
      <c r="A100" s="1"/>
      <c r="B100" s="74">
        <v>8</v>
      </c>
      <c r="C100" s="74" t="s">
        <v>12</v>
      </c>
      <c r="D100" s="88" t="str">
        <f>_xlfn.CONCAT("Per Mortgage Sandbox analysis, the annual Metro Vancouver population growth rate from 1981 to 2016 was ",TEXT(E61,"0.000%")," this is applied as the high growth rate scenario.")</f>
        <v>Per Mortgage Sandbox analysis, the annual Metro Vancouver population growth rate from 1981 to 2016 was 2.150% this is applied as the high growth rate scenario.</v>
      </c>
      <c r="E100" s="88"/>
      <c r="F100" s="88"/>
      <c r="G100" s="88"/>
      <c r="H100" s="77" t="s">
        <v>10</v>
      </c>
      <c r="I100" s="74" t="s">
        <v>48</v>
      </c>
      <c r="J100" s="74"/>
      <c r="K100" s="74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1"/>
    </row>
    <row r="101" spans="1:25" ht="6" customHeight="1" x14ac:dyDescent="0.35">
      <c r="A101" s="1"/>
      <c r="B101" s="74"/>
      <c r="C101" s="74"/>
      <c r="D101" s="80"/>
      <c r="E101" s="80"/>
      <c r="F101" s="80"/>
      <c r="G101" s="80"/>
      <c r="H101" s="77"/>
      <c r="I101" s="74"/>
      <c r="J101" s="74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1"/>
    </row>
    <row r="102" spans="1:25" x14ac:dyDescent="0.35">
      <c r="A102" s="1"/>
      <c r="B102" s="74">
        <v>9</v>
      </c>
      <c r="C102" s="74" t="s">
        <v>12</v>
      </c>
      <c r="D102" s="88" t="s">
        <v>85</v>
      </c>
      <c r="E102" s="88"/>
      <c r="F102" s="88"/>
      <c r="G102" s="88"/>
      <c r="H102" s="77" t="s">
        <v>10</v>
      </c>
      <c r="I102" s="74" t="s">
        <v>11</v>
      </c>
      <c r="J102" s="74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1"/>
    </row>
    <row r="103" spans="1:25" ht="6" customHeight="1" x14ac:dyDescent="0.35">
      <c r="A103" s="1"/>
      <c r="B103" s="74"/>
      <c r="C103" s="74"/>
      <c r="D103" s="80"/>
      <c r="E103" s="80"/>
      <c r="F103" s="80"/>
      <c r="G103" s="80"/>
      <c r="H103" s="77"/>
      <c r="I103" s="74"/>
      <c r="J103" s="74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1"/>
    </row>
    <row r="104" spans="1:25" x14ac:dyDescent="0.35">
      <c r="A104" s="1"/>
      <c r="B104" s="74">
        <v>10</v>
      </c>
      <c r="C104" s="74" t="s">
        <v>12</v>
      </c>
      <c r="D104" s="88" t="s">
        <v>80</v>
      </c>
      <c r="E104" s="88"/>
      <c r="F104" s="88"/>
      <c r="G104" s="88"/>
      <c r="H104" s="77" t="s">
        <v>10</v>
      </c>
      <c r="I104" s="74" t="s">
        <v>25</v>
      </c>
      <c r="J104" s="74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1"/>
    </row>
    <row r="105" spans="1:25" ht="6" customHeight="1" x14ac:dyDescent="0.35">
      <c r="A105" s="1"/>
      <c r="B105" s="74"/>
      <c r="C105" s="74"/>
      <c r="D105" s="80"/>
      <c r="E105" s="80"/>
      <c r="F105" s="80"/>
      <c r="G105" s="80"/>
      <c r="H105" s="77"/>
      <c r="I105" s="74"/>
      <c r="J105" s="74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1"/>
    </row>
    <row r="106" spans="1:25" ht="31.5" customHeight="1" x14ac:dyDescent="0.35">
      <c r="A106" s="1"/>
      <c r="B106" s="74">
        <v>11</v>
      </c>
      <c r="C106" s="74" t="s">
        <v>12</v>
      </c>
      <c r="D106" s="88" t="s">
        <v>78</v>
      </c>
      <c r="E106" s="88"/>
      <c r="F106" s="88"/>
      <c r="G106" s="88"/>
      <c r="H106" s="77"/>
      <c r="I106" s="74" t="s">
        <v>48</v>
      </c>
      <c r="J106" s="74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1"/>
    </row>
    <row r="107" spans="1:25" x14ac:dyDescent="0.35">
      <c r="A107" s="1"/>
      <c r="B107" s="14"/>
      <c r="C107" s="14"/>
      <c r="D107" s="1"/>
      <c r="E107" s="1"/>
      <c r="F107" s="1"/>
      <c r="G107" s="1"/>
      <c r="H107" s="1"/>
      <c r="I107" s="1"/>
      <c r="J107" s="14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35">
      <c r="A108" s="1"/>
      <c r="B108" s="14"/>
      <c r="C108" s="14"/>
      <c r="D108" s="1"/>
      <c r="E108" s="1"/>
      <c r="F108" s="1"/>
      <c r="G108" s="1"/>
      <c r="H108" s="1"/>
      <c r="I108" s="1"/>
      <c r="J108" s="14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2" x14ac:dyDescent="0.65">
      <c r="A109" s="1"/>
      <c r="B109" s="1"/>
      <c r="C109" s="1"/>
      <c r="D109" s="2" t="str">
        <f>_xlfn.CONCAT("C. Metro Vancouver Growth Rate - Unmet Demand Forecast (",TEXT('Population Growth Analysis'!H24,"0.00%")," Growth Rate)")</f>
        <v>C. Metro Vancouver Growth Rate - Unmet Demand Forecast (2.51% Growth Rate)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35">
      <c r="A110" s="1"/>
      <c r="B110" s="1"/>
      <c r="C110" s="1"/>
      <c r="D110" s="17" t="str">
        <f>_xlfn.CONCAT("Required housing to accommodate approximately ",TEXT('Population Growth Analysis'!H24,"0.00%")," forecast annual Metro Vancouver population growth from 2017-2021.")</f>
        <v>Required housing to accommodate approximately 2.51% forecast annual Metro Vancouver population growth from 2017-2021.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35">
      <c r="A111" s="1"/>
      <c r="B111" s="1"/>
      <c r="C111" s="1"/>
      <c r="D111" s="39" t="str">
        <f>_xlfn.CONCAT("A Metro Vancouver population growth rate of ",TEXT('Population Growth Analysis'!H24,"0.000%")," is required to achieve a population of 2,788,000 by 2021 . 2,788,000 is the population forecasted by Metro Vancouver and outlined in its Regional Growth Strategy which was last updated on July 28, 2017.")</f>
        <v>A Metro Vancouver population growth rate of 2.506% is required to achieve a population of 2,788,000 by 2021 . 2,788,000 is the population forecasted by Metro Vancouver and outlined in its Regional Growth Strategy which was last updated on July 28, 2017.</v>
      </c>
      <c r="E111" s="8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35">
      <c r="A112" s="1"/>
      <c r="B112" s="1"/>
      <c r="C112" s="1"/>
      <c r="D112" s="82" t="s">
        <v>88</v>
      </c>
      <c r="E112" s="8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35">
      <c r="A113" s="1"/>
      <c r="B113" s="1"/>
      <c r="C113" s="1"/>
      <c r="D113" s="4"/>
      <c r="E113" s="5">
        <v>2003</v>
      </c>
      <c r="F113" s="5">
        <v>2004</v>
      </c>
      <c r="G113" s="5">
        <v>2005</v>
      </c>
      <c r="H113" s="5">
        <v>2006</v>
      </c>
      <c r="I113" s="5">
        <v>2007</v>
      </c>
      <c r="J113" s="5">
        <v>2008</v>
      </c>
      <c r="K113" s="5">
        <v>2009</v>
      </c>
      <c r="L113" s="5">
        <v>2010</v>
      </c>
      <c r="M113" s="5">
        <v>2011</v>
      </c>
      <c r="N113" s="5">
        <v>2012</v>
      </c>
      <c r="O113" s="5">
        <v>2013</v>
      </c>
      <c r="P113" s="5">
        <v>2014</v>
      </c>
      <c r="Q113" s="5">
        <v>2015</v>
      </c>
      <c r="R113" s="5">
        <v>2016</v>
      </c>
      <c r="S113" s="5">
        <v>2017</v>
      </c>
      <c r="T113" s="5" t="s">
        <v>6</v>
      </c>
      <c r="U113" s="5" t="s">
        <v>7</v>
      </c>
      <c r="V113" s="5" t="s">
        <v>8</v>
      </c>
      <c r="W113" s="5" t="s">
        <v>45</v>
      </c>
      <c r="X113" s="5" t="s">
        <v>1</v>
      </c>
      <c r="Y113" s="1"/>
    </row>
    <row r="114" spans="1:25" x14ac:dyDescent="0.35">
      <c r="A114" s="1"/>
      <c r="B114" s="31" t="s">
        <v>61</v>
      </c>
      <c r="C114" s="1"/>
      <c r="D114" s="6" t="s">
        <v>0</v>
      </c>
      <c r="E114" s="7">
        <v>15626</v>
      </c>
      <c r="F114" s="7">
        <v>19430</v>
      </c>
      <c r="G114" s="7">
        <v>18914</v>
      </c>
      <c r="H114" s="7">
        <v>18705</v>
      </c>
      <c r="I114" s="7">
        <v>20736</v>
      </c>
      <c r="J114" s="7">
        <v>19591</v>
      </c>
      <c r="K114" s="7">
        <v>8339</v>
      </c>
      <c r="L114" s="7">
        <v>15217</v>
      </c>
      <c r="M114" s="7">
        <v>17867</v>
      </c>
      <c r="N114" s="7">
        <v>19027</v>
      </c>
      <c r="O114" s="7">
        <v>18696</v>
      </c>
      <c r="P114" s="7">
        <v>19212</v>
      </c>
      <c r="Q114" s="7">
        <v>20863</v>
      </c>
      <c r="R114" s="7">
        <v>27914</v>
      </c>
      <c r="S114" s="7">
        <v>26204</v>
      </c>
      <c r="T114" s="65">
        <v>25234</v>
      </c>
      <c r="U114" s="65"/>
      <c r="V114" s="65"/>
      <c r="W114" s="65"/>
      <c r="X114" s="37">
        <f>AVERAGE(E114:T114)</f>
        <v>19473.4375</v>
      </c>
      <c r="Y114" s="1"/>
    </row>
    <row r="115" spans="1:25" x14ac:dyDescent="0.35">
      <c r="A115" s="1"/>
      <c r="B115" s="31" t="s">
        <v>62</v>
      </c>
      <c r="C115" s="1"/>
      <c r="D115" s="6" t="s">
        <v>5</v>
      </c>
      <c r="E115" s="7">
        <v>13394</v>
      </c>
      <c r="F115" s="7">
        <v>14302</v>
      </c>
      <c r="G115" s="7">
        <v>15834</v>
      </c>
      <c r="H115" s="7">
        <v>18072</v>
      </c>
      <c r="I115" s="7">
        <v>17816</v>
      </c>
      <c r="J115" s="7">
        <v>19150</v>
      </c>
      <c r="K115" s="7">
        <v>16788</v>
      </c>
      <c r="L115" s="7">
        <v>16474</v>
      </c>
      <c r="M115" s="7">
        <v>12919</v>
      </c>
      <c r="N115" s="7">
        <v>16958</v>
      </c>
      <c r="O115" s="7">
        <v>18392</v>
      </c>
      <c r="P115" s="7">
        <v>17731</v>
      </c>
      <c r="Q115" s="7">
        <v>17346</v>
      </c>
      <c r="R115" s="7">
        <v>18148</v>
      </c>
      <c r="S115" s="7">
        <v>21806</v>
      </c>
      <c r="T115" s="65">
        <f>AVERAGE(R114:S114)</f>
        <v>27059</v>
      </c>
      <c r="U115" s="65">
        <f t="shared" ref="U115" si="78">AVERAGE(S114:T114)</f>
        <v>25719</v>
      </c>
      <c r="V115" s="65">
        <f t="shared" ref="V115" si="79">AVERAGE(T114:U114)</f>
        <v>25234</v>
      </c>
      <c r="W115" s="65">
        <f>AVERAGE(T115:V115)</f>
        <v>26004</v>
      </c>
      <c r="X115" s="37">
        <f>AVERAGE(E115:V115)</f>
        <v>18507.888888888891</v>
      </c>
      <c r="Y115" s="1"/>
    </row>
    <row r="116" spans="1:25" x14ac:dyDescent="0.35">
      <c r="A116" s="1"/>
      <c r="B116" s="31">
        <v>5</v>
      </c>
      <c r="C116" s="1"/>
      <c r="D116" s="6" t="s">
        <v>21</v>
      </c>
      <c r="E116" s="16">
        <f t="shared" ref="E116:W116" si="80">-E115*0.143</f>
        <v>-1915.3419999999999</v>
      </c>
      <c r="F116" s="16">
        <f t="shared" si="80"/>
        <v>-2045.1859999999999</v>
      </c>
      <c r="G116" s="16">
        <f t="shared" si="80"/>
        <v>-2264.2619999999997</v>
      </c>
      <c r="H116" s="16">
        <f t="shared" si="80"/>
        <v>-2584.2959999999998</v>
      </c>
      <c r="I116" s="16">
        <f t="shared" si="80"/>
        <v>-2547.6879999999996</v>
      </c>
      <c r="J116" s="16">
        <f t="shared" si="80"/>
        <v>-2738.45</v>
      </c>
      <c r="K116" s="16">
        <f t="shared" si="80"/>
        <v>-2400.6839999999997</v>
      </c>
      <c r="L116" s="16">
        <f t="shared" si="80"/>
        <v>-2355.7819999999997</v>
      </c>
      <c r="M116" s="16">
        <f t="shared" si="80"/>
        <v>-1847.4169999999999</v>
      </c>
      <c r="N116" s="16">
        <f t="shared" si="80"/>
        <v>-2424.9939999999997</v>
      </c>
      <c r="O116" s="16">
        <f t="shared" si="80"/>
        <v>-2630.0559999999996</v>
      </c>
      <c r="P116" s="16">
        <f t="shared" si="80"/>
        <v>-2535.5329999999999</v>
      </c>
      <c r="Q116" s="16">
        <f t="shared" si="80"/>
        <v>-2480.4779999999996</v>
      </c>
      <c r="R116" s="16">
        <f t="shared" si="80"/>
        <v>-2595.1639999999998</v>
      </c>
      <c r="S116" s="16">
        <f t="shared" si="80"/>
        <v>-3118.2579999999998</v>
      </c>
      <c r="T116" s="66">
        <f t="shared" si="80"/>
        <v>-3869.4369999999999</v>
      </c>
      <c r="U116" s="66">
        <f t="shared" si="80"/>
        <v>-3677.8169999999996</v>
      </c>
      <c r="V116" s="66">
        <f t="shared" si="80"/>
        <v>-3608.4619999999995</v>
      </c>
      <c r="W116" s="66">
        <f t="shared" si="80"/>
        <v>-3718.5719999999997</v>
      </c>
      <c r="X116" s="37">
        <f t="shared" ref="X116:X117" si="81">AVERAGE(E116:V116)</f>
        <v>-2646.6281111111111</v>
      </c>
      <c r="Y116" s="1"/>
    </row>
    <row r="117" spans="1:25" x14ac:dyDescent="0.35">
      <c r="A117" s="1"/>
      <c r="B117" s="31">
        <v>6</v>
      </c>
      <c r="C117" s="1"/>
      <c r="D117" s="6" t="s">
        <v>86</v>
      </c>
      <c r="E117" s="16">
        <f t="shared" ref="E117:W117" si="82">-E115*0.1</f>
        <v>-1339.4</v>
      </c>
      <c r="F117" s="16">
        <f t="shared" si="82"/>
        <v>-1430.2</v>
      </c>
      <c r="G117" s="16">
        <f t="shared" si="82"/>
        <v>-1583.4</v>
      </c>
      <c r="H117" s="16">
        <f t="shared" si="82"/>
        <v>-1807.2</v>
      </c>
      <c r="I117" s="16">
        <f t="shared" si="82"/>
        <v>-1781.6000000000001</v>
      </c>
      <c r="J117" s="16">
        <f t="shared" si="82"/>
        <v>-1915</v>
      </c>
      <c r="K117" s="16">
        <f t="shared" si="82"/>
        <v>-1678.8000000000002</v>
      </c>
      <c r="L117" s="16">
        <f t="shared" si="82"/>
        <v>-1647.4</v>
      </c>
      <c r="M117" s="16">
        <f t="shared" si="82"/>
        <v>-1291.9000000000001</v>
      </c>
      <c r="N117" s="16">
        <f t="shared" si="82"/>
        <v>-1695.8000000000002</v>
      </c>
      <c r="O117" s="16">
        <f t="shared" si="82"/>
        <v>-1839.2</v>
      </c>
      <c r="P117" s="16">
        <f t="shared" si="82"/>
        <v>-1773.1000000000001</v>
      </c>
      <c r="Q117" s="16">
        <f t="shared" si="82"/>
        <v>-1734.6000000000001</v>
      </c>
      <c r="R117" s="16">
        <f t="shared" si="82"/>
        <v>-1814.8000000000002</v>
      </c>
      <c r="S117" s="16">
        <f t="shared" si="82"/>
        <v>-2180.6</v>
      </c>
      <c r="T117" s="66">
        <f t="shared" si="82"/>
        <v>-2705.9</v>
      </c>
      <c r="U117" s="66">
        <f t="shared" si="82"/>
        <v>-2571.9</v>
      </c>
      <c r="V117" s="66">
        <f t="shared" si="82"/>
        <v>-2523.4</v>
      </c>
      <c r="W117" s="66">
        <f t="shared" si="82"/>
        <v>-2600.4</v>
      </c>
      <c r="X117" s="37">
        <f t="shared" si="81"/>
        <v>-1850.7888888888888</v>
      </c>
      <c r="Y117" s="1"/>
    </row>
    <row r="118" spans="1:25" x14ac:dyDescent="0.35">
      <c r="A118" s="1"/>
      <c r="B118" s="31"/>
      <c r="C118" s="1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7"/>
      <c r="U118" s="67"/>
      <c r="V118" s="67"/>
      <c r="W118" s="67"/>
      <c r="X118" s="37"/>
      <c r="Y118" s="1"/>
    </row>
    <row r="119" spans="1:25" x14ac:dyDescent="0.35">
      <c r="A119" s="1"/>
      <c r="B119" s="36"/>
      <c r="C119" s="1"/>
      <c r="D119" s="9" t="s">
        <v>4</v>
      </c>
      <c r="E119" s="12">
        <f t="shared" ref="E119:W119" si="83">SUM(E115:E117)</f>
        <v>10139.258</v>
      </c>
      <c r="F119" s="12">
        <f t="shared" si="83"/>
        <v>10826.614</v>
      </c>
      <c r="G119" s="12">
        <f t="shared" si="83"/>
        <v>11986.338000000002</v>
      </c>
      <c r="H119" s="12">
        <f t="shared" si="83"/>
        <v>13680.503999999999</v>
      </c>
      <c r="I119" s="12">
        <f t="shared" si="83"/>
        <v>13486.712</v>
      </c>
      <c r="J119" s="12">
        <f t="shared" si="83"/>
        <v>14496.55</v>
      </c>
      <c r="K119" s="12">
        <f t="shared" si="83"/>
        <v>12708.516</v>
      </c>
      <c r="L119" s="12">
        <f t="shared" si="83"/>
        <v>12470.818000000001</v>
      </c>
      <c r="M119" s="12">
        <f t="shared" si="83"/>
        <v>9779.6830000000009</v>
      </c>
      <c r="N119" s="12">
        <f t="shared" si="83"/>
        <v>12837.206000000002</v>
      </c>
      <c r="O119" s="12">
        <f t="shared" si="83"/>
        <v>13922.743999999999</v>
      </c>
      <c r="P119" s="12">
        <f t="shared" si="83"/>
        <v>13422.367</v>
      </c>
      <c r="Q119" s="12">
        <f t="shared" si="83"/>
        <v>13130.922</v>
      </c>
      <c r="R119" s="12">
        <f t="shared" si="83"/>
        <v>13738.036</v>
      </c>
      <c r="S119" s="12">
        <f t="shared" si="83"/>
        <v>16507.142</v>
      </c>
      <c r="T119" s="68">
        <f t="shared" si="83"/>
        <v>20483.663</v>
      </c>
      <c r="U119" s="68">
        <f t="shared" si="83"/>
        <v>19469.282999999999</v>
      </c>
      <c r="V119" s="68">
        <f t="shared" si="83"/>
        <v>19102.137999999999</v>
      </c>
      <c r="W119" s="68">
        <f t="shared" si="83"/>
        <v>19685.027999999998</v>
      </c>
      <c r="X119" s="37">
        <f t="shared" ref="X119" si="84">AVERAGE(E119:V119)</f>
        <v>14010.471888888887</v>
      </c>
      <c r="Y119" s="1"/>
    </row>
    <row r="120" spans="1:25" x14ac:dyDescent="0.35">
      <c r="A120" s="1"/>
      <c r="B120" s="31"/>
      <c r="C120" s="1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7"/>
      <c r="U120" s="67"/>
      <c r="V120" s="67"/>
      <c r="W120" s="67"/>
      <c r="X120" s="37"/>
      <c r="Y120" s="1"/>
    </row>
    <row r="121" spans="1:25" x14ac:dyDescent="0.35">
      <c r="A121" s="1"/>
      <c r="B121" s="31"/>
      <c r="C121" s="1"/>
      <c r="D121" s="6" t="s">
        <v>2</v>
      </c>
      <c r="E121" s="10">
        <f>ROUND(E122-E122/(1+E123),0)</f>
        <v>25594</v>
      </c>
      <c r="F121" s="10">
        <f t="shared" ref="F121:G121" si="85">ROUND(F122-F122/(1+F123),0)</f>
        <v>25919</v>
      </c>
      <c r="G121" s="10">
        <f t="shared" si="85"/>
        <v>26249</v>
      </c>
      <c r="H121" s="10">
        <f t="shared" ref="H121" si="86">ROUND(H122-H122/(1+H123),0)</f>
        <v>26583</v>
      </c>
      <c r="I121" s="10">
        <f t="shared" ref="I121" si="87">ROUND(I122-I122/(1+I123),0)</f>
        <v>37963</v>
      </c>
      <c r="J121" s="10">
        <f t="shared" ref="J121" si="88">ROUND(J122-J122/(1+J123),0)</f>
        <v>38644</v>
      </c>
      <c r="K121" s="10">
        <f t="shared" ref="K121" si="89">ROUND(K122-K122/(1+K123),0)</f>
        <v>39337</v>
      </c>
      <c r="L121" s="10">
        <f t="shared" ref="L121" si="90">ROUND(L122-L122/(1+L123),0)</f>
        <v>40043</v>
      </c>
      <c r="M121" s="10">
        <f t="shared" ref="M121" si="91">ROUND(M122-M122/(1+M123),0)</f>
        <v>40761</v>
      </c>
      <c r="N121" s="10">
        <f t="shared" ref="N121" si="92">ROUND(N122-N122/(1+N123),0)</f>
        <v>29270</v>
      </c>
      <c r="O121" s="10">
        <f t="shared" ref="O121" si="93">ROUND(O122-O122/(1+O123),0)</f>
        <v>29641</v>
      </c>
      <c r="P121" s="10">
        <f t="shared" ref="P121" si="94">ROUND(P122-P122/(1+P123),0)</f>
        <v>30016</v>
      </c>
      <c r="Q121" s="10">
        <f t="shared" ref="Q121" si="95">ROUND(Q122-Q122/(1+Q123),0)</f>
        <v>30396</v>
      </c>
      <c r="R121" s="10">
        <f t="shared" ref="R121" si="96">ROUND(R122-R122/(1+R123),0)</f>
        <v>30780</v>
      </c>
      <c r="S121" s="10">
        <f>ROUND(R122*S123,0)</f>
        <v>61740</v>
      </c>
      <c r="T121" s="69">
        <f>ROUND(S122*T123,0)</f>
        <v>63288</v>
      </c>
      <c r="U121" s="69">
        <f t="shared" ref="U121:W121" si="97">ROUND(T122*U123,0)</f>
        <v>64874</v>
      </c>
      <c r="V121" s="69">
        <f t="shared" si="97"/>
        <v>66500</v>
      </c>
      <c r="W121" s="69">
        <f t="shared" si="97"/>
        <v>68167</v>
      </c>
      <c r="X121" s="37">
        <f t="shared" ref="X121" si="98">AVERAGE(E121:V121)</f>
        <v>39311</v>
      </c>
      <c r="Y121" s="84">
        <f>AVERAGE(N121:W121)</f>
        <v>47467.199999999997</v>
      </c>
    </row>
    <row r="122" spans="1:25" x14ac:dyDescent="0.35">
      <c r="A122" s="1"/>
      <c r="B122" s="31">
        <v>7</v>
      </c>
      <c r="C122" s="1"/>
      <c r="D122" s="6" t="s">
        <v>46</v>
      </c>
      <c r="E122" s="10">
        <f>F122-F121</f>
        <v>2037830</v>
      </c>
      <c r="F122" s="10">
        <f>G122-G121</f>
        <v>2063749</v>
      </c>
      <c r="G122" s="10">
        <f>H122-H121</f>
        <v>2089998</v>
      </c>
      <c r="H122" s="10">
        <v>2116581</v>
      </c>
      <c r="I122" s="10">
        <f>J122-J121</f>
        <v>2154543</v>
      </c>
      <c r="J122" s="10">
        <f>K122-K121</f>
        <v>2193187</v>
      </c>
      <c r="K122" s="10">
        <f>L122-L121</f>
        <v>2232524</v>
      </c>
      <c r="L122" s="10">
        <f>M122-M121</f>
        <v>2272567</v>
      </c>
      <c r="M122" s="10">
        <v>2313328</v>
      </c>
      <c r="N122" s="10">
        <f>O122-O121</f>
        <v>2342598</v>
      </c>
      <c r="O122" s="10">
        <f>P122-P121</f>
        <v>2372239</v>
      </c>
      <c r="P122" s="10">
        <f>Q122-Q121</f>
        <v>2402255</v>
      </c>
      <c r="Q122" s="10">
        <f>R122-R121</f>
        <v>2432651</v>
      </c>
      <c r="R122" s="10">
        <v>2463431</v>
      </c>
      <c r="S122" s="10">
        <f>R122+S121</f>
        <v>2525171</v>
      </c>
      <c r="T122" s="69">
        <f>S122+T121</f>
        <v>2588459</v>
      </c>
      <c r="U122" s="69">
        <f>T122+U121</f>
        <v>2653333</v>
      </c>
      <c r="V122" s="69">
        <f>U122+V121</f>
        <v>2719833</v>
      </c>
      <c r="W122" s="69">
        <f>V122+W121</f>
        <v>2788000</v>
      </c>
      <c r="X122" s="37"/>
      <c r="Y122" s="1"/>
    </row>
    <row r="123" spans="1:25" x14ac:dyDescent="0.35">
      <c r="A123" s="1"/>
      <c r="B123" s="31">
        <v>8</v>
      </c>
      <c r="C123" s="1"/>
      <c r="D123" s="6" t="s">
        <v>47</v>
      </c>
      <c r="E123" s="63">
        <f>'Population Growth Analysis'!$H$18</f>
        <v>1.2718946837372958E-2</v>
      </c>
      <c r="F123" s="63">
        <f>'Population Growth Analysis'!$H$18</f>
        <v>1.2718946837372958E-2</v>
      </c>
      <c r="G123" s="63">
        <f>'Population Growth Analysis'!$H$18</f>
        <v>1.2718946837372958E-2</v>
      </c>
      <c r="H123" s="63">
        <f>'Population Growth Analysis'!$H$18</f>
        <v>1.2718946837372958E-2</v>
      </c>
      <c r="I123" s="63">
        <f>'Population Growth Analysis'!$H$20</f>
        <v>1.7935977703644079E-2</v>
      </c>
      <c r="J123" s="63">
        <f>'Population Growth Analysis'!$H$20</f>
        <v>1.7935977703644079E-2</v>
      </c>
      <c r="K123" s="63">
        <f>'Population Growth Analysis'!$H$20</f>
        <v>1.7935977703644079E-2</v>
      </c>
      <c r="L123" s="63">
        <f>'Population Growth Analysis'!$H$20</f>
        <v>1.7935977703644079E-2</v>
      </c>
      <c r="M123" s="63">
        <f>'Population Growth Analysis'!$H$20</f>
        <v>1.7935977703644079E-2</v>
      </c>
      <c r="N123" s="63">
        <f>'Population Growth Analysis'!$H$22</f>
        <v>1.2652962499257736E-2</v>
      </c>
      <c r="O123" s="63">
        <f>'Population Growth Analysis'!$H$22</f>
        <v>1.2652962499257736E-2</v>
      </c>
      <c r="P123" s="63">
        <f>'Population Growth Analysis'!$H$22</f>
        <v>1.2652962499257736E-2</v>
      </c>
      <c r="Q123" s="63">
        <f>'Population Growth Analysis'!$H$22</f>
        <v>1.2652962499257736E-2</v>
      </c>
      <c r="R123" s="63">
        <f>'Population Growth Analysis'!$H$22</f>
        <v>1.2652962499257736E-2</v>
      </c>
      <c r="S123" s="63">
        <f>'Population Growth Analysis'!$H$24</f>
        <v>2.5062800858570267E-2</v>
      </c>
      <c r="T123" s="70">
        <f>'Population Growth Analysis'!$H$24</f>
        <v>2.5062800858570267E-2</v>
      </c>
      <c r="U123" s="70">
        <f>'Population Growth Analysis'!$H$24</f>
        <v>2.5062800858570267E-2</v>
      </c>
      <c r="V123" s="70">
        <f>'Population Growth Analysis'!$H$24</f>
        <v>2.5062800858570267E-2</v>
      </c>
      <c r="W123" s="70">
        <f>'Population Growth Analysis'!$H$24</f>
        <v>2.5062800858570267E-2</v>
      </c>
      <c r="X123" s="64"/>
      <c r="Y123" s="1"/>
    </row>
    <row r="124" spans="1:25" x14ac:dyDescent="0.35">
      <c r="A124" s="1"/>
      <c r="B124" s="31"/>
      <c r="C124" s="1"/>
      <c r="D124" s="6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69"/>
      <c r="U124" s="69"/>
      <c r="V124" s="69"/>
      <c r="W124" s="69"/>
      <c r="X124" s="37"/>
      <c r="Y124" s="1"/>
    </row>
    <row r="125" spans="1:25" x14ac:dyDescent="0.35">
      <c r="A125" s="1"/>
      <c r="B125" s="31">
        <v>9</v>
      </c>
      <c r="C125" s="1"/>
      <c r="D125" s="6" t="s">
        <v>15</v>
      </c>
      <c r="E125" s="10">
        <f t="shared" ref="E125:W125" si="99">E121/2.5</f>
        <v>10237.6</v>
      </c>
      <c r="F125" s="10">
        <f t="shared" si="99"/>
        <v>10367.6</v>
      </c>
      <c r="G125" s="10">
        <f t="shared" si="99"/>
        <v>10499.6</v>
      </c>
      <c r="H125" s="10">
        <f t="shared" si="99"/>
        <v>10633.2</v>
      </c>
      <c r="I125" s="10">
        <f t="shared" si="99"/>
        <v>15185.2</v>
      </c>
      <c r="J125" s="10">
        <f t="shared" si="99"/>
        <v>15457.6</v>
      </c>
      <c r="K125" s="10">
        <f t="shared" si="99"/>
        <v>15734.8</v>
      </c>
      <c r="L125" s="10">
        <f t="shared" si="99"/>
        <v>16017.2</v>
      </c>
      <c r="M125" s="10">
        <f t="shared" si="99"/>
        <v>16304.4</v>
      </c>
      <c r="N125" s="10">
        <f t="shared" si="99"/>
        <v>11708</v>
      </c>
      <c r="O125" s="10">
        <f t="shared" si="99"/>
        <v>11856.4</v>
      </c>
      <c r="P125" s="10">
        <f t="shared" si="99"/>
        <v>12006.4</v>
      </c>
      <c r="Q125" s="10">
        <f t="shared" si="99"/>
        <v>12158.4</v>
      </c>
      <c r="R125" s="10">
        <f t="shared" si="99"/>
        <v>12312</v>
      </c>
      <c r="S125" s="10">
        <f t="shared" si="99"/>
        <v>24696</v>
      </c>
      <c r="T125" s="69">
        <f t="shared" si="99"/>
        <v>25315.200000000001</v>
      </c>
      <c r="U125" s="69">
        <f t="shared" si="99"/>
        <v>25949.599999999999</v>
      </c>
      <c r="V125" s="69">
        <f t="shared" si="99"/>
        <v>26600</v>
      </c>
      <c r="W125" s="69">
        <f t="shared" si="99"/>
        <v>27266.799999999999</v>
      </c>
      <c r="X125" s="37">
        <f t="shared" ref="X125" si="100">AVERAGE(E125:V125)</f>
        <v>15724.400000000001</v>
      </c>
      <c r="Y125" s="1"/>
    </row>
    <row r="126" spans="1:25" x14ac:dyDescent="0.35">
      <c r="A126" s="1"/>
      <c r="B126" s="31"/>
      <c r="C126" s="1"/>
      <c r="D126" s="6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69"/>
      <c r="U126" s="69"/>
      <c r="V126" s="69"/>
      <c r="W126" s="69"/>
      <c r="X126" s="37"/>
      <c r="Y126" s="1"/>
    </row>
    <row r="127" spans="1:25" x14ac:dyDescent="0.35">
      <c r="A127" s="1"/>
      <c r="B127" s="31">
        <v>10</v>
      </c>
      <c r="C127" s="1"/>
      <c r="D127" s="6" t="s">
        <v>49</v>
      </c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>
        <v>348700</v>
      </c>
      <c r="S127" s="10">
        <f>R127+S115+S116</f>
        <v>367387.74200000003</v>
      </c>
      <c r="T127" s="69">
        <f t="shared" ref="T127" si="101">S127+T115+T116</f>
        <v>390577.30500000005</v>
      </c>
      <c r="U127" s="69">
        <f>T127+U115+U116</f>
        <v>412618.48800000007</v>
      </c>
      <c r="V127" s="69">
        <f t="shared" ref="V127:W127" si="102">U127+V115+V116</f>
        <v>434244.02600000007</v>
      </c>
      <c r="W127" s="69">
        <f t="shared" si="102"/>
        <v>456529.45400000009</v>
      </c>
      <c r="X127" s="37"/>
      <c r="Y127" s="1"/>
    </row>
    <row r="128" spans="1:25" x14ac:dyDescent="0.35">
      <c r="A128" s="1"/>
      <c r="B128" s="31">
        <v>11</v>
      </c>
      <c r="C128" s="1"/>
      <c r="D128" s="6" t="s">
        <v>23</v>
      </c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69"/>
      <c r="U128" s="69">
        <f>($W$127*3%)/3</f>
        <v>4565.2945400000008</v>
      </c>
      <c r="V128" s="69">
        <f>($W$127*3%)/3</f>
        <v>4565.2945400000008</v>
      </c>
      <c r="W128" s="69">
        <f>($W$127*3%)/3</f>
        <v>4565.2945400000008</v>
      </c>
      <c r="X128" s="37"/>
      <c r="Y128" s="1"/>
    </row>
    <row r="129" spans="1:25" x14ac:dyDescent="0.35">
      <c r="A129" s="1"/>
      <c r="B129" s="1"/>
      <c r="C129" s="31"/>
      <c r="D129" s="6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69"/>
      <c r="U129" s="69"/>
      <c r="V129" s="69"/>
      <c r="W129" s="69"/>
      <c r="X129" s="7"/>
      <c r="Y129" s="1"/>
    </row>
    <row r="130" spans="1:25" x14ac:dyDescent="0.35">
      <c r="A130" s="1"/>
      <c r="B130" s="1"/>
      <c r="C130" s="31"/>
      <c r="D130" s="6" t="s">
        <v>3</v>
      </c>
      <c r="E130" s="32">
        <f t="shared" ref="E130:W130" si="103">E119-E125-E128</f>
        <v>-98.342000000000553</v>
      </c>
      <c r="F130" s="32">
        <f t="shared" si="103"/>
        <v>459.01399999999921</v>
      </c>
      <c r="G130" s="32">
        <f t="shared" si="103"/>
        <v>1486.7380000000012</v>
      </c>
      <c r="H130" s="32">
        <f t="shared" si="103"/>
        <v>3047.3039999999983</v>
      </c>
      <c r="I130" s="32">
        <f t="shared" si="103"/>
        <v>-1698.4880000000012</v>
      </c>
      <c r="J130" s="32">
        <f t="shared" si="103"/>
        <v>-961.05000000000109</v>
      </c>
      <c r="K130" s="32">
        <f t="shared" si="103"/>
        <v>-3026.2839999999997</v>
      </c>
      <c r="L130" s="32">
        <f t="shared" si="103"/>
        <v>-3546.3819999999996</v>
      </c>
      <c r="M130" s="32">
        <f t="shared" si="103"/>
        <v>-6524.7169999999987</v>
      </c>
      <c r="N130" s="32">
        <f t="shared" si="103"/>
        <v>1129.2060000000019</v>
      </c>
      <c r="O130" s="32">
        <f t="shared" si="103"/>
        <v>2066.3439999999991</v>
      </c>
      <c r="P130" s="32">
        <f t="shared" si="103"/>
        <v>1415.9670000000006</v>
      </c>
      <c r="Q130" s="32">
        <f t="shared" si="103"/>
        <v>972.52200000000084</v>
      </c>
      <c r="R130" s="32">
        <f t="shared" si="103"/>
        <v>1426.0360000000001</v>
      </c>
      <c r="S130" s="32">
        <f t="shared" si="103"/>
        <v>-8188.8580000000002</v>
      </c>
      <c r="T130" s="71">
        <f t="shared" si="103"/>
        <v>-4831.5370000000003</v>
      </c>
      <c r="U130" s="71">
        <f t="shared" si="103"/>
        <v>-11045.61154</v>
      </c>
      <c r="V130" s="71">
        <f t="shared" si="103"/>
        <v>-12063.156540000002</v>
      </c>
      <c r="W130" s="71">
        <f t="shared" si="103"/>
        <v>-12147.066540000002</v>
      </c>
      <c r="X130" s="37">
        <f t="shared" ref="X130" si="104">AVERAGE(E130:V130)</f>
        <v>-2221.1830600000003</v>
      </c>
      <c r="Y130" s="1"/>
    </row>
    <row r="131" spans="1:25" x14ac:dyDescent="0.35">
      <c r="A131" s="1"/>
      <c r="B131" s="1"/>
      <c r="C131" s="1"/>
      <c r="D131" s="6"/>
      <c r="E131" s="19">
        <f t="shared" ref="E131:V131" si="105">E113</f>
        <v>2003</v>
      </c>
      <c r="F131" s="19">
        <f t="shared" si="105"/>
        <v>2004</v>
      </c>
      <c r="G131" s="19">
        <f t="shared" si="105"/>
        <v>2005</v>
      </c>
      <c r="H131" s="19">
        <f t="shared" si="105"/>
        <v>2006</v>
      </c>
      <c r="I131" s="19">
        <f t="shared" si="105"/>
        <v>2007</v>
      </c>
      <c r="J131" s="19">
        <f t="shared" si="105"/>
        <v>2008</v>
      </c>
      <c r="K131" s="19">
        <f t="shared" si="105"/>
        <v>2009</v>
      </c>
      <c r="L131" s="19">
        <f t="shared" si="105"/>
        <v>2010</v>
      </c>
      <c r="M131" s="19">
        <f t="shared" si="105"/>
        <v>2011</v>
      </c>
      <c r="N131" s="19">
        <f t="shared" si="105"/>
        <v>2012</v>
      </c>
      <c r="O131" s="19">
        <f t="shared" si="105"/>
        <v>2013</v>
      </c>
      <c r="P131" s="19">
        <f t="shared" si="105"/>
        <v>2014</v>
      </c>
      <c r="Q131" s="19">
        <f t="shared" si="105"/>
        <v>2015</v>
      </c>
      <c r="R131" s="19">
        <f t="shared" si="105"/>
        <v>2016</v>
      </c>
      <c r="S131" s="19">
        <f t="shared" si="105"/>
        <v>2017</v>
      </c>
      <c r="T131" s="72" t="str">
        <f t="shared" si="105"/>
        <v>2018F</v>
      </c>
      <c r="U131" s="72" t="str">
        <f t="shared" si="105"/>
        <v>2019F</v>
      </c>
      <c r="V131" s="72" t="str">
        <f t="shared" si="105"/>
        <v>2020F</v>
      </c>
      <c r="W131" s="72"/>
      <c r="X131" s="7"/>
      <c r="Y131" s="1"/>
    </row>
    <row r="132" spans="1:25" x14ac:dyDescent="0.35">
      <c r="A132" s="1"/>
      <c r="B132" s="1"/>
      <c r="C132" s="1"/>
      <c r="D132" s="11" t="s">
        <v>22</v>
      </c>
      <c r="E132" s="32">
        <f>E130</f>
        <v>-98.342000000000553</v>
      </c>
      <c r="F132" s="32">
        <f>E132+F130</f>
        <v>360.67199999999866</v>
      </c>
      <c r="G132" s="32">
        <f t="shared" ref="G132" si="106">F132+G130</f>
        <v>1847.4099999999999</v>
      </c>
      <c r="H132" s="32">
        <f t="shared" ref="H132" si="107">G132+H130</f>
        <v>4894.7139999999981</v>
      </c>
      <c r="I132" s="32">
        <f t="shared" ref="I132" si="108">H132+I130</f>
        <v>3196.2259999999969</v>
      </c>
      <c r="J132" s="32">
        <f t="shared" ref="J132" si="109">I132+J130</f>
        <v>2235.1759999999958</v>
      </c>
      <c r="K132" s="32">
        <f t="shared" ref="K132" si="110">J132+K130</f>
        <v>-791.10800000000381</v>
      </c>
      <c r="L132" s="32">
        <f t="shared" ref="L132" si="111">K132+L130</f>
        <v>-4337.4900000000034</v>
      </c>
      <c r="M132" s="32">
        <f t="shared" ref="M132" si="112">L132+M130</f>
        <v>-10862.207000000002</v>
      </c>
      <c r="N132" s="32">
        <f t="shared" ref="N132" si="113">M132+N130</f>
        <v>-9733.0010000000002</v>
      </c>
      <c r="O132" s="32">
        <f t="shared" ref="O132" si="114">N132+O130</f>
        <v>-7666.6570000000011</v>
      </c>
      <c r="P132" s="32">
        <f t="shared" ref="P132" si="115">O132+P130</f>
        <v>-6250.6900000000005</v>
      </c>
      <c r="Q132" s="32">
        <f t="shared" ref="Q132" si="116">P132+Q130</f>
        <v>-5278.1679999999997</v>
      </c>
      <c r="R132" s="32">
        <f t="shared" ref="R132" si="117">Q132+R130</f>
        <v>-3852.1319999999996</v>
      </c>
      <c r="S132" s="32">
        <f t="shared" ref="S132" si="118">R132+S130</f>
        <v>-12040.99</v>
      </c>
      <c r="T132" s="71">
        <f t="shared" ref="T132" si="119">S132+T130</f>
        <v>-16872.527000000002</v>
      </c>
      <c r="U132" s="71">
        <f t="shared" ref="U132" si="120">T132+U130</f>
        <v>-27918.13854</v>
      </c>
      <c r="V132" s="71">
        <f t="shared" ref="V132" si="121">U132+V130</f>
        <v>-39981.295080000004</v>
      </c>
      <c r="W132" s="71">
        <f>V132+W130</f>
        <v>-52128.361620000003</v>
      </c>
      <c r="X132" s="32"/>
      <c r="Y132" s="1"/>
    </row>
    <row r="133" spans="1:25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35">
      <c r="A134" s="1"/>
      <c r="B134" s="1"/>
      <c r="C134" s="1"/>
      <c r="D134" s="21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3" t="s">
        <v>9</v>
      </c>
      <c r="Q134" s="24">
        <v>960895</v>
      </c>
      <c r="R134" s="24">
        <f t="shared" ref="R134" si="122">Q134+R125</f>
        <v>973207</v>
      </c>
      <c r="S134" s="24">
        <f t="shared" ref="S134" si="123">R134+S125</f>
        <v>997903</v>
      </c>
      <c r="T134" s="24">
        <f t="shared" ref="T134" si="124">S134+T125</f>
        <v>1023218.2</v>
      </c>
      <c r="U134" s="24">
        <f t="shared" ref="U134" si="125">T134+U125</f>
        <v>1049167.8</v>
      </c>
      <c r="V134" s="24">
        <f t="shared" ref="V134" si="126">U134+V125</f>
        <v>1075767.8</v>
      </c>
      <c r="W134" s="24">
        <f t="shared" ref="W134" si="127">V134+W125</f>
        <v>1103034.6000000001</v>
      </c>
      <c r="X134" s="25"/>
      <c r="Y134" s="1"/>
    </row>
    <row r="135" spans="1:25" x14ac:dyDescent="0.35">
      <c r="A135" s="1"/>
      <c r="B135" s="1"/>
      <c r="C135" s="1"/>
      <c r="D135" s="26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8" t="s">
        <v>16</v>
      </c>
      <c r="Q135" s="29">
        <f t="shared" ref="Q135:V135" si="128">Q132/Q134</f>
        <v>-5.4929706159361838E-3</v>
      </c>
      <c r="R135" s="29">
        <f t="shared" si="128"/>
        <v>-3.9581836135580608E-3</v>
      </c>
      <c r="S135" s="29">
        <f t="shared" si="128"/>
        <v>-1.2066293016455508E-2</v>
      </c>
      <c r="T135" s="29">
        <f t="shared" si="128"/>
        <v>-1.6489666622427165E-2</v>
      </c>
      <c r="U135" s="29">
        <f t="shared" si="128"/>
        <v>-2.6609793533503411E-2</v>
      </c>
      <c r="V135" s="29">
        <f t="shared" si="128"/>
        <v>-3.7165357691501831E-2</v>
      </c>
      <c r="W135" s="29">
        <f>W132/W134</f>
        <v>-4.7259044838665984E-2</v>
      </c>
      <c r="X135" s="30"/>
      <c r="Y135" s="1"/>
    </row>
    <row r="136" spans="1:25" x14ac:dyDescent="0.35">
      <c r="A136" s="1"/>
      <c r="B136" s="1"/>
      <c r="C136" s="1"/>
      <c r="D136" s="13" t="s">
        <v>17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1"/>
    </row>
    <row r="137" spans="1:25" x14ac:dyDescent="0.35">
      <c r="A137" s="1"/>
      <c r="B137" s="74">
        <v>1</v>
      </c>
      <c r="C137" s="74" t="s">
        <v>12</v>
      </c>
      <c r="D137" s="88" t="s">
        <v>81</v>
      </c>
      <c r="E137" s="88"/>
      <c r="F137" s="88"/>
      <c r="G137" s="88"/>
      <c r="H137" s="77" t="s">
        <v>10</v>
      </c>
      <c r="I137" s="74" t="s">
        <v>14</v>
      </c>
      <c r="J137" s="74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1"/>
    </row>
    <row r="138" spans="1:25" ht="6" customHeight="1" x14ac:dyDescent="0.35">
      <c r="A138" s="1"/>
      <c r="B138" s="74"/>
      <c r="C138" s="74"/>
      <c r="D138" s="80"/>
      <c r="E138" s="80"/>
      <c r="F138" s="80"/>
      <c r="G138" s="80"/>
      <c r="H138" s="77"/>
      <c r="I138" s="74"/>
      <c r="J138" s="74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1"/>
    </row>
    <row r="139" spans="1:25" x14ac:dyDescent="0.35">
      <c r="A139" s="1"/>
      <c r="B139" s="74">
        <v>2</v>
      </c>
      <c r="C139" s="74"/>
      <c r="D139" s="88" t="s">
        <v>82</v>
      </c>
      <c r="E139" s="88"/>
      <c r="F139" s="88"/>
      <c r="G139" s="88"/>
      <c r="H139" s="77" t="s">
        <v>10</v>
      </c>
      <c r="I139" s="74" t="s">
        <v>63</v>
      </c>
      <c r="J139" s="74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1"/>
    </row>
    <row r="140" spans="1:25" ht="6" customHeight="1" x14ac:dyDescent="0.35">
      <c r="A140" s="1"/>
      <c r="B140" s="74"/>
      <c r="C140" s="74"/>
      <c r="D140" s="80"/>
      <c r="E140" s="80"/>
      <c r="F140" s="80"/>
      <c r="G140" s="80"/>
      <c r="H140" s="77"/>
      <c r="I140" s="74"/>
      <c r="J140" s="74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1"/>
    </row>
    <row r="141" spans="1:25" x14ac:dyDescent="0.35">
      <c r="A141" s="1"/>
      <c r="B141" s="74">
        <v>3</v>
      </c>
      <c r="C141" s="74" t="s">
        <v>12</v>
      </c>
      <c r="D141" s="88" t="s">
        <v>83</v>
      </c>
      <c r="E141" s="88"/>
      <c r="F141" s="88"/>
      <c r="G141" s="88"/>
      <c r="H141" s="77" t="s">
        <v>10</v>
      </c>
      <c r="I141" s="74" t="s">
        <v>14</v>
      </c>
      <c r="J141" s="74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1"/>
    </row>
    <row r="142" spans="1:25" ht="6" customHeight="1" x14ac:dyDescent="0.35">
      <c r="A142" s="1"/>
      <c r="B142" s="74"/>
      <c r="C142" s="74"/>
      <c r="D142" s="80"/>
      <c r="E142" s="80"/>
      <c r="F142" s="80"/>
      <c r="G142" s="80"/>
      <c r="H142" s="77"/>
      <c r="I142" s="74"/>
      <c r="J142" s="74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1"/>
    </row>
    <row r="143" spans="1:25" ht="48.75" customHeight="1" x14ac:dyDescent="0.35">
      <c r="A143" s="1"/>
      <c r="B143" s="74">
        <v>4</v>
      </c>
      <c r="C143" s="74" t="s">
        <v>12</v>
      </c>
      <c r="D143" s="88" t="s">
        <v>64</v>
      </c>
      <c r="E143" s="88"/>
      <c r="F143" s="88"/>
      <c r="G143" s="88"/>
      <c r="H143" s="78"/>
      <c r="I143" s="74" t="s">
        <v>13</v>
      </c>
      <c r="J143" s="74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1"/>
    </row>
    <row r="144" spans="1:25" ht="6" customHeight="1" x14ac:dyDescent="0.35">
      <c r="A144" s="1"/>
      <c r="B144" s="74"/>
      <c r="C144" s="74"/>
      <c r="D144" s="80"/>
      <c r="E144" s="80"/>
      <c r="F144" s="80"/>
      <c r="G144" s="80"/>
      <c r="H144" s="77"/>
      <c r="I144" s="74"/>
      <c r="J144" s="74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1"/>
    </row>
    <row r="145" spans="1:25" ht="15" customHeight="1" x14ac:dyDescent="0.35">
      <c r="A145" s="1"/>
      <c r="B145" s="74">
        <v>5</v>
      </c>
      <c r="C145" s="74" t="s">
        <v>12</v>
      </c>
      <c r="D145" s="88" t="s">
        <v>19</v>
      </c>
      <c r="E145" s="88"/>
      <c r="F145" s="88"/>
      <c r="G145" s="88"/>
      <c r="H145" s="79" t="s">
        <v>10</v>
      </c>
      <c r="I145" s="74" t="s">
        <v>27</v>
      </c>
      <c r="J145" s="74"/>
      <c r="K145" s="75"/>
      <c r="L145" s="75"/>
      <c r="M145" s="75"/>
      <c r="N145" s="75"/>
      <c r="O145" s="75"/>
      <c r="P145" s="75"/>
      <c r="Q145" s="75"/>
      <c r="R145" s="75"/>
      <c r="S145" s="76"/>
      <c r="T145" s="75"/>
      <c r="U145" s="75"/>
      <c r="V145" s="75"/>
      <c r="W145" s="75"/>
      <c r="X145" s="75"/>
      <c r="Y145" s="1"/>
    </row>
    <row r="146" spans="1:25" ht="6" customHeight="1" x14ac:dyDescent="0.35">
      <c r="A146" s="1"/>
      <c r="B146" s="74"/>
      <c r="C146" s="74"/>
      <c r="D146" s="80"/>
      <c r="E146" s="80"/>
      <c r="F146" s="80"/>
      <c r="G146" s="80"/>
      <c r="H146" s="77"/>
      <c r="I146" s="74"/>
      <c r="J146" s="74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1"/>
    </row>
    <row r="147" spans="1:25" ht="47.25" customHeight="1" x14ac:dyDescent="0.35">
      <c r="A147" s="1"/>
      <c r="B147" s="74">
        <v>6</v>
      </c>
      <c r="C147" s="74" t="s">
        <v>12</v>
      </c>
      <c r="D147" s="88" t="s">
        <v>77</v>
      </c>
      <c r="E147" s="88"/>
      <c r="F147" s="88"/>
      <c r="G147" s="88"/>
      <c r="H147" s="77" t="s">
        <v>10</v>
      </c>
      <c r="I147" s="74" t="s">
        <v>26</v>
      </c>
      <c r="J147" s="74"/>
      <c r="K147" s="75"/>
      <c r="L147" s="75"/>
      <c r="M147" s="75"/>
      <c r="N147" s="75"/>
      <c r="O147" s="75"/>
      <c r="P147" s="75"/>
      <c r="Q147" s="75"/>
      <c r="R147" s="75"/>
      <c r="S147" s="76"/>
      <c r="T147" s="75"/>
      <c r="U147" s="75"/>
      <c r="V147" s="75"/>
      <c r="W147" s="75"/>
      <c r="X147" s="75"/>
      <c r="Y147" s="1"/>
    </row>
    <row r="148" spans="1:25" ht="6" customHeight="1" x14ac:dyDescent="0.35">
      <c r="A148" s="1"/>
      <c r="B148" s="74"/>
      <c r="C148" s="74"/>
      <c r="D148" s="80"/>
      <c r="E148" s="80"/>
      <c r="F148" s="80"/>
      <c r="G148" s="80"/>
      <c r="H148" s="77"/>
      <c r="I148" s="74"/>
      <c r="J148" s="74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1"/>
    </row>
    <row r="149" spans="1:25" ht="15" customHeight="1" x14ac:dyDescent="0.35">
      <c r="A149" s="1"/>
      <c r="B149" s="74">
        <v>7</v>
      </c>
      <c r="C149" s="74" t="s">
        <v>12</v>
      </c>
      <c r="D149" s="88" t="s">
        <v>84</v>
      </c>
      <c r="E149" s="88"/>
      <c r="F149" s="88"/>
      <c r="G149" s="88"/>
      <c r="H149" s="77" t="s">
        <v>10</v>
      </c>
      <c r="I149" s="74" t="s">
        <v>48</v>
      </c>
      <c r="J149" s="74"/>
      <c r="K149" s="74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1"/>
    </row>
    <row r="150" spans="1:25" ht="6" customHeight="1" x14ac:dyDescent="0.35">
      <c r="A150" s="1"/>
      <c r="B150" s="74"/>
      <c r="C150" s="74"/>
      <c r="D150" s="80"/>
      <c r="E150" s="80"/>
      <c r="F150" s="80"/>
      <c r="G150" s="80"/>
      <c r="H150" s="77"/>
      <c r="I150" s="74"/>
      <c r="J150" s="74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1"/>
    </row>
    <row r="151" spans="1:25" ht="49.5" customHeight="1" x14ac:dyDescent="0.35">
      <c r="A151" s="1"/>
      <c r="B151" s="74">
        <v>8</v>
      </c>
      <c r="C151" s="74" t="s">
        <v>12</v>
      </c>
      <c r="D151" s="88" t="str">
        <f>_xlfn.CONCAT("Per Mortgage Sandbox analysis, a Metro Vancouver population growth rate of ",TEXT('Population Growth Analysis'!H24,"0.000%")," is required to achieve a population of 2,788,000 by 2021 . 2,788,000 is the population forecasted by Metro Vancouver and outlined in its Regional Growth Strategy which was last updated on July 28, 2017.")</f>
        <v>Per Mortgage Sandbox analysis, a Metro Vancouver population growth rate of 2.506% is required to achieve a population of 2,788,000 by 2021 . 2,788,000 is the population forecasted by Metro Vancouver and outlined in its Regional Growth Strategy which was last updated on July 28, 2017.</v>
      </c>
      <c r="E151" s="88"/>
      <c r="F151" s="88"/>
      <c r="G151" s="88"/>
      <c r="H151" s="77" t="s">
        <v>10</v>
      </c>
      <c r="I151" s="74" t="s">
        <v>48</v>
      </c>
      <c r="J151" s="74"/>
      <c r="K151" s="74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1"/>
    </row>
    <row r="152" spans="1:25" ht="6" customHeight="1" x14ac:dyDescent="0.35">
      <c r="A152" s="1"/>
      <c r="B152" s="74"/>
      <c r="C152" s="74"/>
      <c r="D152" s="80"/>
      <c r="E152" s="80"/>
      <c r="F152" s="80"/>
      <c r="G152" s="80"/>
      <c r="H152" s="77"/>
      <c r="I152" s="74"/>
      <c r="J152" s="74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1"/>
    </row>
    <row r="153" spans="1:25" x14ac:dyDescent="0.35">
      <c r="A153" s="1"/>
      <c r="B153" s="74">
        <v>9</v>
      </c>
      <c r="C153" s="74" t="s">
        <v>12</v>
      </c>
      <c r="D153" s="88" t="s">
        <v>85</v>
      </c>
      <c r="E153" s="88"/>
      <c r="F153" s="88"/>
      <c r="G153" s="88"/>
      <c r="H153" s="77" t="s">
        <v>10</v>
      </c>
      <c r="I153" s="74" t="s">
        <v>11</v>
      </c>
      <c r="J153" s="74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1"/>
    </row>
    <row r="154" spans="1:25" ht="6" customHeight="1" x14ac:dyDescent="0.35">
      <c r="A154" s="1"/>
      <c r="B154" s="74"/>
      <c r="C154" s="74"/>
      <c r="D154" s="80"/>
      <c r="E154" s="80"/>
      <c r="F154" s="80"/>
      <c r="G154" s="80"/>
      <c r="H154" s="77"/>
      <c r="I154" s="74"/>
      <c r="J154" s="74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1"/>
    </row>
    <row r="155" spans="1:25" x14ac:dyDescent="0.35">
      <c r="A155" s="1"/>
      <c r="B155" s="74">
        <v>10</v>
      </c>
      <c r="C155" s="74" t="s">
        <v>12</v>
      </c>
      <c r="D155" s="88" t="s">
        <v>80</v>
      </c>
      <c r="E155" s="88"/>
      <c r="F155" s="88"/>
      <c r="G155" s="88"/>
      <c r="H155" s="77" t="s">
        <v>10</v>
      </c>
      <c r="I155" s="74" t="s">
        <v>25</v>
      </c>
      <c r="J155" s="74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1"/>
    </row>
    <row r="156" spans="1:25" ht="6" customHeight="1" x14ac:dyDescent="0.35">
      <c r="A156" s="1"/>
      <c r="B156" s="74"/>
      <c r="C156" s="74"/>
      <c r="D156" s="80"/>
      <c r="E156" s="80"/>
      <c r="F156" s="80"/>
      <c r="G156" s="80"/>
      <c r="H156" s="77"/>
      <c r="I156" s="74"/>
      <c r="J156" s="74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1"/>
    </row>
    <row r="157" spans="1:25" ht="31.5" customHeight="1" x14ac:dyDescent="0.35">
      <c r="A157" s="1"/>
      <c r="B157" s="74">
        <v>11</v>
      </c>
      <c r="C157" s="74" t="s">
        <v>12</v>
      </c>
      <c r="D157" s="88" t="s">
        <v>78</v>
      </c>
      <c r="E157" s="88"/>
      <c r="F157" s="88"/>
      <c r="G157" s="88"/>
      <c r="H157" s="77"/>
      <c r="I157" s="74" t="s">
        <v>48</v>
      </c>
      <c r="J157" s="74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1"/>
    </row>
    <row r="158" spans="1:25" x14ac:dyDescent="0.35">
      <c r="A158" s="1"/>
      <c r="B158" s="14"/>
      <c r="C158" s="14"/>
      <c r="D158" s="14"/>
      <c r="E158" s="14"/>
      <c r="F158" s="14"/>
      <c r="G158" s="14"/>
      <c r="H158" s="15"/>
      <c r="I158" s="14"/>
      <c r="J158" s="14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35">
      <c r="A159" s="1"/>
      <c r="B159" s="14"/>
      <c r="C159" s="14"/>
      <c r="D159" s="83" t="str">
        <f>_xlfn.CONCAT("Note: The average annual population growth between 2011 and 2021 in this scenario is ",TEXT(Y121,"0,000"),".")</f>
        <v>Note: The average annual population growth between 2011 and 2021 in this scenario is 47,467.</v>
      </c>
      <c r="E159" s="14"/>
      <c r="G159" s="14"/>
      <c r="H159" s="15"/>
      <c r="I159" s="14"/>
      <c r="J159" s="14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35">
      <c r="A160" s="1"/>
      <c r="B160" s="14"/>
      <c r="C160" s="14"/>
      <c r="D160" s="14"/>
      <c r="E160" s="14"/>
      <c r="F160" s="14"/>
      <c r="G160" s="14"/>
      <c r="H160" s="15"/>
      <c r="I160" s="14"/>
      <c r="J160" s="14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6" ht="22" x14ac:dyDescent="0.65">
      <c r="A161" s="1"/>
      <c r="B161" s="1"/>
      <c r="C161" s="1"/>
      <c r="D161" s="2" t="s">
        <v>24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6" x14ac:dyDescent="0.35">
      <c r="A162" s="33"/>
      <c r="B162" s="33"/>
      <c r="C162" s="33"/>
      <c r="D162" s="33" t="s">
        <v>36</v>
      </c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1"/>
      <c r="Y162" s="1"/>
    </row>
    <row r="163" spans="1:26" ht="32.25" customHeight="1" x14ac:dyDescent="0.35">
      <c r="A163" s="33"/>
      <c r="B163" s="33"/>
      <c r="C163" s="33"/>
      <c r="D163" s="20" t="s">
        <v>37</v>
      </c>
      <c r="E163" s="5">
        <v>2003</v>
      </c>
      <c r="F163" s="5">
        <v>2004</v>
      </c>
      <c r="G163" s="5">
        <v>2005</v>
      </c>
      <c r="H163" s="5">
        <v>2006</v>
      </c>
      <c r="I163" s="5">
        <v>2007</v>
      </c>
      <c r="J163" s="5">
        <v>2008</v>
      </c>
      <c r="K163" s="5">
        <v>2009</v>
      </c>
      <c r="L163" s="5">
        <v>2010</v>
      </c>
      <c r="M163" s="5">
        <v>2011</v>
      </c>
      <c r="N163" s="5">
        <v>2012</v>
      </c>
      <c r="O163" s="5">
        <v>2013</v>
      </c>
      <c r="P163" s="5">
        <v>2014</v>
      </c>
      <c r="Q163" s="5">
        <v>2015</v>
      </c>
      <c r="R163" s="5">
        <v>2016</v>
      </c>
      <c r="S163" s="5">
        <v>2017</v>
      </c>
      <c r="T163" s="5" t="s">
        <v>6</v>
      </c>
      <c r="U163" s="5" t="s">
        <v>7</v>
      </c>
      <c r="V163" s="5" t="s">
        <v>8</v>
      </c>
      <c r="W163" s="5" t="s">
        <v>8</v>
      </c>
      <c r="X163" s="1"/>
      <c r="Y163" s="1"/>
    </row>
    <row r="164" spans="1:26" x14ac:dyDescent="0.35">
      <c r="A164" s="33"/>
      <c r="B164" s="33"/>
      <c r="C164" s="33"/>
      <c r="D164" s="6" t="s">
        <v>87</v>
      </c>
      <c r="E164" s="32">
        <f t="shared" ref="E164:R164" si="129">ROUNDUP(E30/100,0)*100</f>
        <v>-100</v>
      </c>
      <c r="F164" s="32">
        <f t="shared" si="129"/>
        <v>400</v>
      </c>
      <c r="G164" s="32">
        <f t="shared" si="129"/>
        <v>1900</v>
      </c>
      <c r="H164" s="32">
        <f t="shared" si="129"/>
        <v>4900</v>
      </c>
      <c r="I164" s="32">
        <f t="shared" si="129"/>
        <v>3200</v>
      </c>
      <c r="J164" s="32">
        <f t="shared" si="129"/>
        <v>2300</v>
      </c>
      <c r="K164" s="32">
        <f t="shared" si="129"/>
        <v>-800</v>
      </c>
      <c r="L164" s="32">
        <f t="shared" si="129"/>
        <v>-4400</v>
      </c>
      <c r="M164" s="32">
        <f t="shared" si="129"/>
        <v>-10900</v>
      </c>
      <c r="N164" s="32">
        <f t="shared" si="129"/>
        <v>-9800</v>
      </c>
      <c r="O164" s="32">
        <f t="shared" si="129"/>
        <v>-7700</v>
      </c>
      <c r="P164" s="32">
        <f t="shared" si="129"/>
        <v>-6300</v>
      </c>
      <c r="Q164" s="32">
        <f t="shared" si="129"/>
        <v>-5300</v>
      </c>
      <c r="R164" s="32">
        <f t="shared" si="129"/>
        <v>-3900</v>
      </c>
      <c r="S164" s="32"/>
      <c r="T164" s="32"/>
      <c r="U164" s="32"/>
      <c r="V164" s="32"/>
      <c r="W164" s="32"/>
      <c r="X164" s="1"/>
      <c r="Y164" s="1"/>
    </row>
    <row r="165" spans="1:26" x14ac:dyDescent="0.35">
      <c r="A165" s="33"/>
      <c r="B165" s="33"/>
      <c r="C165" s="33"/>
      <c r="D165" s="85" t="str">
        <f>D8</f>
        <v>A. Lower Growth Rate - Unmet Demand Forecast (1.44% Growth Rate)</v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>
        <f>R164</f>
        <v>-3900</v>
      </c>
      <c r="S165" s="32">
        <f>ROUNDUP(S30/100,0)*100</f>
        <v>-1600</v>
      </c>
      <c r="T165" s="32">
        <f>ROUNDUP(T30/100,0)*100</f>
        <v>4500</v>
      </c>
      <c r="U165" s="32">
        <f>ROUNDUP(U30/100,0)*100</f>
        <v>4800</v>
      </c>
      <c r="V165" s="32">
        <f>ROUNDUP(V30/100,0)*100</f>
        <v>4500</v>
      </c>
      <c r="W165" s="32">
        <f>ROUNDUP(W30/100,0)*100</f>
        <v>4600</v>
      </c>
      <c r="X165" s="1"/>
      <c r="Y165" s="1"/>
    </row>
    <row r="166" spans="1:26" x14ac:dyDescent="0.35">
      <c r="A166" s="33"/>
      <c r="B166" s="33"/>
      <c r="C166" s="33"/>
      <c r="D166" s="86" t="str">
        <f>D59</f>
        <v>B. Higher Growth Rate - Unmet Demand Forecast (2.15% Growth Rate)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>
        <f t="shared" ref="R166:R167" si="130">R165</f>
        <v>-3900</v>
      </c>
      <c r="S166" s="32">
        <f t="shared" ref="S166:W166" si="131">ROUNDUP(S81/100,0)*100</f>
        <v>-8600</v>
      </c>
      <c r="T166" s="32">
        <f t="shared" si="131"/>
        <v>-9700</v>
      </c>
      <c r="U166" s="32">
        <f t="shared" si="131"/>
        <v>-17000</v>
      </c>
      <c r="V166" s="32">
        <f t="shared" si="131"/>
        <v>-25000</v>
      </c>
      <c r="W166" s="32">
        <f t="shared" si="131"/>
        <v>-33000</v>
      </c>
      <c r="X166" s="1"/>
      <c r="Y166" s="1"/>
    </row>
    <row r="167" spans="1:26" x14ac:dyDescent="0.35">
      <c r="A167" s="33"/>
      <c r="B167" s="33"/>
      <c r="C167" s="33"/>
      <c r="D167" s="87" t="str">
        <f>D109</f>
        <v>C. Metro Vancouver Growth Rate - Unmet Demand Forecast (2.51% Growth Rate)</v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>
        <f t="shared" si="130"/>
        <v>-3900</v>
      </c>
      <c r="S167" s="32">
        <f t="shared" ref="S167:W167" si="132">ROUNDUP(S132/100,0)*100</f>
        <v>-12100</v>
      </c>
      <c r="T167" s="32">
        <f t="shared" si="132"/>
        <v>-16900</v>
      </c>
      <c r="U167" s="32">
        <f t="shared" si="132"/>
        <v>-28000</v>
      </c>
      <c r="V167" s="32">
        <f t="shared" si="132"/>
        <v>-40000</v>
      </c>
      <c r="W167" s="32">
        <f t="shared" si="132"/>
        <v>-52200</v>
      </c>
      <c r="X167" s="1"/>
      <c r="Y167" s="1"/>
    </row>
    <row r="168" spans="1:26" x14ac:dyDescent="0.35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1"/>
      <c r="Y168" s="1"/>
      <c r="Z168" s="1"/>
    </row>
    <row r="169" spans="1:26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2" x14ac:dyDescent="0.65">
      <c r="A194" s="1"/>
      <c r="B194" s="1"/>
      <c r="C194" s="1"/>
      <c r="D194" s="2" t="s">
        <v>35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9.5" x14ac:dyDescent="0.35">
      <c r="A195" s="1"/>
      <c r="B195" s="1"/>
      <c r="C195" s="1"/>
      <c r="D195" s="4"/>
      <c r="E195" s="18" t="s">
        <v>33</v>
      </c>
      <c r="F195" s="18" t="s">
        <v>30</v>
      </c>
      <c r="G195" s="18" t="s">
        <v>29</v>
      </c>
      <c r="H195" s="18" t="s">
        <v>28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5">
      <c r="A196" s="1"/>
      <c r="B196" s="1"/>
      <c r="C196" s="31" t="s">
        <v>32</v>
      </c>
      <c r="D196" s="6" t="s">
        <v>2</v>
      </c>
      <c r="E196" s="10"/>
      <c r="F196" s="10">
        <v>35000</v>
      </c>
      <c r="G196" s="10">
        <v>65000</v>
      </c>
      <c r="H196" s="10">
        <f>G196*1.1</f>
        <v>71500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5">
      <c r="A197" s="1"/>
      <c r="B197" s="1"/>
      <c r="C197" s="1"/>
      <c r="D197" s="6" t="s">
        <v>39</v>
      </c>
      <c r="E197" s="35"/>
      <c r="F197" s="10">
        <f>F196/2.5</f>
        <v>14000</v>
      </c>
      <c r="G197" s="10">
        <f t="shared" ref="G197:H197" si="133">G196/2.5</f>
        <v>26000</v>
      </c>
      <c r="H197" s="10">
        <f t="shared" si="133"/>
        <v>28600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5">
      <c r="A198" s="1"/>
      <c r="B198" s="1"/>
      <c r="C198" s="1"/>
      <c r="D198" s="6"/>
      <c r="E198" s="10"/>
      <c r="F198" s="10"/>
      <c r="G198" s="10"/>
      <c r="H198" s="10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5">
      <c r="A199" s="1"/>
      <c r="B199" s="1"/>
      <c r="C199" s="1">
        <v>4</v>
      </c>
      <c r="D199" s="6" t="s">
        <v>18</v>
      </c>
      <c r="E199" s="34">
        <v>0.2</v>
      </c>
      <c r="F199" s="10">
        <f>F203*$E$199</f>
        <v>4000</v>
      </c>
      <c r="G199" s="10">
        <f>G203*$E$199</f>
        <v>7428.5714285714294</v>
      </c>
      <c r="H199" s="10">
        <f>H203*$E$199</f>
        <v>8171.4285714285725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5">
      <c r="A200" s="1"/>
      <c r="B200" s="1"/>
      <c r="C200" s="1">
        <v>5</v>
      </c>
      <c r="D200" s="6" t="s">
        <v>40</v>
      </c>
      <c r="E200" s="34">
        <v>0.1</v>
      </c>
      <c r="F200" s="10">
        <f>F203*$E$200</f>
        <v>2000</v>
      </c>
      <c r="G200" s="10">
        <f>G203*$E$200</f>
        <v>3714.2857142857147</v>
      </c>
      <c r="H200" s="10">
        <f>H203*$E$200</f>
        <v>4085.7142857142862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5">
      <c r="A201" s="1"/>
      <c r="B201" s="1"/>
      <c r="C201" s="1"/>
      <c r="D201" s="6" t="s">
        <v>34</v>
      </c>
      <c r="E201" s="34">
        <f>SUM(E199:E200)</f>
        <v>0.30000000000000004</v>
      </c>
      <c r="F201" s="10">
        <f t="shared" ref="F201:H201" si="134">SUM(F199:F200)</f>
        <v>6000</v>
      </c>
      <c r="G201" s="10">
        <f t="shared" si="134"/>
        <v>11142.857142857145</v>
      </c>
      <c r="H201" s="10">
        <f t="shared" si="134"/>
        <v>12257.142857142859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5">
      <c r="A202" s="1"/>
      <c r="B202" s="1"/>
      <c r="C202" s="1"/>
      <c r="D202" s="6"/>
      <c r="E202" s="10"/>
      <c r="F202" s="10"/>
      <c r="G202" s="10"/>
      <c r="H202" s="10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5">
      <c r="A203" s="1"/>
      <c r="B203" s="1"/>
      <c r="C203" s="1"/>
      <c r="D203" s="9" t="s">
        <v>44</v>
      </c>
      <c r="E203" s="8"/>
      <c r="F203" s="8">
        <f>F197/(1-$E$201)</f>
        <v>20000</v>
      </c>
      <c r="G203" s="8">
        <f>G197/(1-$E$201)</f>
        <v>37142.857142857145</v>
      </c>
      <c r="H203" s="8">
        <f>H197/(1-$E$201)</f>
        <v>40857.142857142862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5">
      <c r="A205" s="1"/>
      <c r="B205" s="1"/>
      <c r="C205" s="1"/>
      <c r="D205" s="13" t="s">
        <v>17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5">
      <c r="A206" s="1"/>
      <c r="B206" s="1">
        <v>1</v>
      </c>
      <c r="C206" s="1" t="s">
        <v>12</v>
      </c>
      <c r="D206" s="89" t="s">
        <v>31</v>
      </c>
      <c r="E206" s="89"/>
      <c r="F206" s="89"/>
      <c r="G206" s="89"/>
      <c r="H206" s="15" t="s">
        <v>10</v>
      </c>
      <c r="I206" s="14" t="s">
        <v>20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5">
      <c r="A207" s="1"/>
      <c r="B207" s="1">
        <v>2</v>
      </c>
      <c r="C207" s="1" t="s">
        <v>12</v>
      </c>
      <c r="D207" s="89" t="s">
        <v>42</v>
      </c>
      <c r="E207" s="89"/>
      <c r="F207" s="89"/>
      <c r="G207" s="89"/>
      <c r="H207" s="38" t="s">
        <v>10</v>
      </c>
      <c r="I207" s="14" t="s">
        <v>41</v>
      </c>
      <c r="J207" s="14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5">
      <c r="A208" s="1"/>
      <c r="B208" s="1">
        <v>3</v>
      </c>
      <c r="C208" s="1" t="s">
        <v>12</v>
      </c>
      <c r="D208" s="89" t="s">
        <v>43</v>
      </c>
      <c r="E208" s="89"/>
      <c r="F208" s="89"/>
      <c r="G208" s="89"/>
      <c r="H208" s="38" t="s">
        <v>10</v>
      </c>
      <c r="I208" s="14" t="s">
        <v>41</v>
      </c>
      <c r="J208" s="14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5">
      <c r="A209" s="1"/>
      <c r="B209" s="14">
        <v>4</v>
      </c>
      <c r="C209" s="14" t="s">
        <v>12</v>
      </c>
      <c r="D209" s="89" t="s">
        <v>19</v>
      </c>
      <c r="E209" s="89"/>
      <c r="F209" s="89"/>
      <c r="G209" s="89"/>
      <c r="H209" s="15" t="s">
        <v>10</v>
      </c>
      <c r="I209" s="14" t="s">
        <v>27</v>
      </c>
      <c r="J209" s="14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5">
      <c r="A210" s="1"/>
      <c r="B210" s="14">
        <v>5</v>
      </c>
      <c r="C210" s="14" t="s">
        <v>12</v>
      </c>
      <c r="D210" s="89" t="s">
        <v>79</v>
      </c>
      <c r="E210" s="89"/>
      <c r="F210" s="89"/>
      <c r="G210" s="89"/>
      <c r="H210" s="15" t="s">
        <v>10</v>
      </c>
      <c r="I210" s="14" t="s">
        <v>26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</sheetData>
  <mergeCells count="38">
    <mergeCell ref="D147:G147"/>
    <mergeCell ref="D41:G41"/>
    <mergeCell ref="D137:G137"/>
    <mergeCell ref="D51:G51"/>
    <mergeCell ref="D49:G49"/>
    <mergeCell ref="D145:G145"/>
    <mergeCell ref="D155:G155"/>
    <mergeCell ref="D47:G47"/>
    <mergeCell ref="D45:G45"/>
    <mergeCell ref="D90:G90"/>
    <mergeCell ref="D208:G208"/>
    <mergeCell ref="D96:G96"/>
    <mergeCell ref="D157:G157"/>
    <mergeCell ref="D92:G92"/>
    <mergeCell ref="D94:G94"/>
    <mergeCell ref="D98:G98"/>
    <mergeCell ref="D100:G100"/>
    <mergeCell ref="D102:G102"/>
    <mergeCell ref="D104:G104"/>
    <mergeCell ref="D143:G143"/>
    <mergeCell ref="D53:G53"/>
    <mergeCell ref="D55:G55"/>
    <mergeCell ref="D106:G106"/>
    <mergeCell ref="D210:G210"/>
    <mergeCell ref="D37:G37"/>
    <mergeCell ref="D35:G35"/>
    <mergeCell ref="D209:G209"/>
    <mergeCell ref="D206:G206"/>
    <mergeCell ref="D86:G86"/>
    <mergeCell ref="D43:G43"/>
    <mergeCell ref="D141:G141"/>
    <mergeCell ref="D88:G88"/>
    <mergeCell ref="D207:G207"/>
    <mergeCell ref="D39:G39"/>
    <mergeCell ref="D139:G139"/>
    <mergeCell ref="D149:G149"/>
    <mergeCell ref="D151:G151"/>
    <mergeCell ref="D153:G153"/>
  </mergeCells>
  <hyperlinks>
    <hyperlink ref="H209" r:id="rId1" xr:uid="{00000000-0004-0000-0000-00000B000000}"/>
    <hyperlink ref="H206:H208" r:id="rId2" display="Link" xr:uid="{67A75155-332F-4650-9F44-3373913E88A7}"/>
    <hyperlink ref="H210" r:id="rId3" xr:uid="{F3A7059B-A22C-44AD-8BBA-597EACD50964}"/>
    <hyperlink ref="H207" r:id="rId4" display="https://council.vancouver.ca/20171128/documents/rr1presentation.pdf" xr:uid="{345F5E7B-01D6-46A0-A67D-00CECB041BF5}"/>
    <hyperlink ref="H208" r:id="rId5" display="https://council.vancouver.ca/20171128/documents/rr1presentation.pdf" xr:uid="{0FDCD3F1-C660-47F4-B277-0224C419720E}"/>
    <hyperlink ref="H51" r:id="rId6" xr:uid="{1E982C82-3936-4BE4-AEF2-A5D5D39DD7AD}"/>
    <hyperlink ref="H45" r:id="rId7" xr:uid="{0047A732-19C5-4463-953E-562C89A945B7}"/>
    <hyperlink ref="H43" r:id="rId8" xr:uid="{6CD7AEC7-6E81-454D-877A-F963073E210C}"/>
    <hyperlink ref="H53" r:id="rId9" xr:uid="{B7DB42DE-25AA-4643-A1EE-148739D007B2}"/>
    <hyperlink ref="H35" r:id="rId10" xr:uid="{A9471ADC-D0C1-451B-B19A-59CDDFA3DB31}"/>
    <hyperlink ref="H39" r:id="rId11" xr:uid="{ED24F2AF-EFFF-4765-B903-8A75F8283E7B}"/>
    <hyperlink ref="H37" r:id="rId12" xr:uid="{0414B0F7-45AD-4EC4-85B7-478C869AB469}"/>
    <hyperlink ref="H47" location="'Population Growth Analysis'!A1" display="Link" xr:uid="{F48D911C-97E4-4A15-AEB7-FD572F6191B2}"/>
    <hyperlink ref="H49" location="'Population Growth Analysis'!A1" display="Link" xr:uid="{0AE725EA-5957-4F91-9C1E-62CA3FE12C11}"/>
    <hyperlink ref="H153" r:id="rId13" xr:uid="{8F49484C-7DF7-4E34-A172-95A30AC06461}"/>
    <hyperlink ref="H147" r:id="rId14" xr:uid="{F076D10F-2AEF-4551-9EB7-B1A4965BF62C}"/>
    <hyperlink ref="H145" r:id="rId15" xr:uid="{42145ADA-789B-4763-B268-CE87E8DF3895}"/>
    <hyperlink ref="H155" r:id="rId16" xr:uid="{7AB99DA8-C2A5-4148-AA1F-9715E8EA28DA}"/>
    <hyperlink ref="H137" r:id="rId17" xr:uid="{63C0C630-293A-4309-813D-4AA52423ACA5}"/>
    <hyperlink ref="H141" r:id="rId18" xr:uid="{6A7A9229-1A5D-49E8-BBB9-60DA22B79680}"/>
    <hyperlink ref="H139" r:id="rId19" xr:uid="{8A4078C1-CB64-4375-AD94-A7031C4B1120}"/>
    <hyperlink ref="H149" location="'Population Growth Analysis'!A1" display="Link" xr:uid="{A8724212-B9B4-4A76-99C3-54CED3D5FB21}"/>
    <hyperlink ref="H151" location="'Population Growth Analysis'!A1" display="Link" xr:uid="{14238729-63A8-4316-A17D-4C5F66F86844}"/>
    <hyperlink ref="H102" r:id="rId20" xr:uid="{BC549B50-4A60-4A40-8805-DFC828B60913}"/>
    <hyperlink ref="H96" r:id="rId21" xr:uid="{9A32CD81-F2CE-4F07-A771-96C614F752B8}"/>
    <hyperlink ref="H94" r:id="rId22" xr:uid="{8049B52D-383B-45B3-B393-8722BF35B538}"/>
    <hyperlink ref="H104" r:id="rId23" xr:uid="{37B3C9B1-5B03-48BA-BDC0-1E9143331341}"/>
    <hyperlink ref="H86" r:id="rId24" xr:uid="{8C5C7510-B5B3-45FB-B471-1C4C74DBF7A6}"/>
    <hyperlink ref="H90" r:id="rId25" xr:uid="{BFA637F9-C35B-4324-9388-3216F5743396}"/>
    <hyperlink ref="H88" r:id="rId26" xr:uid="{2ECD68B5-B89A-448B-BEBA-04B7C4390CCF}"/>
    <hyperlink ref="H98" location="'Population Growth Analysis'!A1" display="Link" xr:uid="{8709FBB7-EBAB-4C9F-A549-73E8321AC924}"/>
    <hyperlink ref="H100" location="'Population Growth Analysis'!A1" display="Link" xr:uid="{C28F0103-FF16-4CAC-A93B-9603F02131D5}"/>
    <hyperlink ref="D112" r:id="rId27" display="* Metro Vancouver is a federation of 21 municipalities, one Electoral Area and one Treaty First Nation that collaboratively plans for and delivers regional-scale services." xr:uid="{03403E5C-BF7B-4BE4-AE6E-5EC2913836C5}"/>
  </hyperlinks>
  <pageMargins left="0.25" right="0.25" top="0.75" bottom="0.75" header="0.3" footer="0.3"/>
  <pageSetup scale="51" orientation="landscape" r:id="rId28"/>
  <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D71C9-2D1C-4BF4-975E-2DC5B60DBB37}">
  <dimension ref="A1:Z72"/>
  <sheetViews>
    <sheetView topLeftCell="D4" zoomScale="60" zoomScaleNormal="60" workbookViewId="0">
      <selection activeCell="W8" sqref="W8"/>
    </sheetView>
  </sheetViews>
  <sheetFormatPr defaultRowHeight="14.5" x14ac:dyDescent="0.35"/>
  <cols>
    <col min="1" max="1" width="4.7265625" customWidth="1"/>
    <col min="2" max="2" width="5.54296875" customWidth="1"/>
    <col min="3" max="3" width="3.81640625" customWidth="1"/>
    <col min="4" max="4" width="6" customWidth="1"/>
    <col min="5" max="5" width="4.453125" customWidth="1"/>
    <col min="6" max="6" width="12" customWidth="1"/>
    <col min="7" max="7" width="33" customWidth="1"/>
    <col min="8" max="8" width="22.81640625" bestFit="1" customWidth="1"/>
    <col min="17" max="17" width="11.7265625" bestFit="1" customWidth="1"/>
  </cols>
  <sheetData>
    <row r="1" spans="1:26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5">
      <c r="A4" s="1"/>
      <c r="B4" s="14"/>
      <c r="C4" s="1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5">
      <c r="A5" s="1"/>
      <c r="B5" s="14"/>
      <c r="C5" s="1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5">
      <c r="A6" s="1"/>
      <c r="B6" s="14"/>
      <c r="C6" s="14"/>
      <c r="D6" s="40" t="s">
        <v>38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5">
      <c r="A7" s="1"/>
      <c r="B7" s="14"/>
      <c r="C7" s="1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" x14ac:dyDescent="0.65">
      <c r="A8" s="1"/>
      <c r="B8" s="1"/>
      <c r="C8" s="1"/>
      <c r="D8" s="2" t="s">
        <v>55</v>
      </c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5">
      <c r="A9" s="1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1"/>
      <c r="Q9" s="1" t="str">
        <f>_xlfn.CONCAT(D11," to ",D13)</f>
        <v>1981 to 1991</v>
      </c>
      <c r="R9" s="59">
        <f>H12</f>
        <v>3.1976791195668319E-2</v>
      </c>
      <c r="S9" s="1"/>
      <c r="T9" s="1"/>
      <c r="U9" s="1"/>
      <c r="V9" s="1"/>
      <c r="W9" s="1"/>
      <c r="X9" s="1"/>
      <c r="Y9" s="1"/>
      <c r="Z9" s="1"/>
    </row>
    <row r="10" spans="1:26" x14ac:dyDescent="0.35">
      <c r="A10" s="1"/>
      <c r="B10" s="33"/>
      <c r="C10" s="33"/>
      <c r="D10" s="93" t="s">
        <v>50</v>
      </c>
      <c r="E10" s="94"/>
      <c r="F10" s="41" t="s">
        <v>51</v>
      </c>
      <c r="G10" s="5" t="s">
        <v>56</v>
      </c>
      <c r="H10" s="5" t="s">
        <v>74</v>
      </c>
      <c r="I10" s="42" t="s">
        <v>53</v>
      </c>
      <c r="J10" s="33"/>
      <c r="K10" s="33"/>
      <c r="L10" s="33"/>
      <c r="M10" s="33"/>
      <c r="N10" s="33"/>
      <c r="O10" s="33"/>
      <c r="P10" s="1"/>
      <c r="Q10" s="1" t="str">
        <f>_xlfn.CONCAT(D13," to ",D15)</f>
        <v>1991 to 1996</v>
      </c>
      <c r="R10" s="59">
        <f>H14</f>
        <v>2.708106719622605E-2</v>
      </c>
      <c r="S10" s="1"/>
      <c r="T10" s="1"/>
      <c r="U10" s="1"/>
      <c r="V10" s="1"/>
      <c r="W10" s="1"/>
      <c r="X10" s="1"/>
      <c r="Y10" s="1"/>
      <c r="Z10" s="1"/>
    </row>
    <row r="11" spans="1:26" x14ac:dyDescent="0.35">
      <c r="A11" s="1"/>
      <c r="B11" s="33"/>
      <c r="C11" s="33"/>
      <c r="D11" s="43">
        <v>1981</v>
      </c>
      <c r="E11" s="44"/>
      <c r="F11" s="45">
        <v>1169831</v>
      </c>
      <c r="H11" s="61"/>
      <c r="I11" s="33" t="s">
        <v>57</v>
      </c>
      <c r="J11" s="33"/>
      <c r="K11" s="33"/>
      <c r="L11" s="33"/>
      <c r="M11" s="33"/>
      <c r="N11" s="33"/>
      <c r="O11" s="33"/>
      <c r="P11" s="1"/>
      <c r="Q11" s="1" t="str">
        <f>_xlfn.CONCAT(D15," to ",D17)</f>
        <v>1996 to 2001</v>
      </c>
      <c r="R11" s="59">
        <f>H16</f>
        <v>1.6409777272678339E-2</v>
      </c>
      <c r="S11" s="1"/>
      <c r="T11" s="1"/>
      <c r="U11" s="1"/>
      <c r="V11" s="1"/>
      <c r="W11" s="1"/>
      <c r="X11" s="1"/>
      <c r="Y11" s="1"/>
      <c r="Z11" s="1"/>
    </row>
    <row r="12" spans="1:26" x14ac:dyDescent="0.35">
      <c r="A12" s="1"/>
      <c r="B12" s="33"/>
      <c r="C12" s="33"/>
      <c r="D12" s="43"/>
      <c r="E12" s="44"/>
      <c r="F12" s="7"/>
      <c r="G12" s="46">
        <f>D13-D11</f>
        <v>10</v>
      </c>
      <c r="H12" s="56">
        <f>(F13/F11)^(1/G12)-1</f>
        <v>3.1976791195668319E-2</v>
      </c>
      <c r="I12" s="33"/>
      <c r="J12" s="33"/>
      <c r="K12" s="33"/>
      <c r="L12" s="33"/>
      <c r="M12" s="33"/>
      <c r="N12" s="33"/>
      <c r="O12" s="33"/>
      <c r="P12" s="1"/>
      <c r="Q12" s="1" t="str">
        <f>_xlfn.CONCAT(D17," to ",D19)</f>
        <v>2001 to 2006</v>
      </c>
      <c r="R12" s="59">
        <f>H18</f>
        <v>1.2718946837372958E-2</v>
      </c>
      <c r="S12" s="1"/>
      <c r="T12" s="1"/>
      <c r="U12" s="1"/>
      <c r="V12" s="1"/>
      <c r="W12" s="1"/>
      <c r="X12" s="1"/>
      <c r="Y12" s="1"/>
      <c r="Z12" s="1"/>
    </row>
    <row r="13" spans="1:26" x14ac:dyDescent="0.35">
      <c r="A13" s="1"/>
      <c r="B13" s="33"/>
      <c r="C13" s="33"/>
      <c r="D13" s="43">
        <v>1991</v>
      </c>
      <c r="E13" s="44"/>
      <c r="F13" s="7">
        <v>1602590</v>
      </c>
      <c r="H13" s="61"/>
      <c r="I13" s="33" t="s">
        <v>57</v>
      </c>
      <c r="J13" s="33"/>
      <c r="K13" s="33"/>
      <c r="L13" s="33"/>
      <c r="M13" s="33"/>
      <c r="N13" s="33"/>
      <c r="O13" s="33"/>
      <c r="P13" s="1"/>
      <c r="Q13" s="1" t="str">
        <f>_xlfn.CONCAT(D19," to ",D21)</f>
        <v>2006 to 2011</v>
      </c>
      <c r="R13" s="59">
        <f>H20</f>
        <v>1.7935977703644079E-2</v>
      </c>
      <c r="S13" s="1"/>
      <c r="T13" s="1"/>
      <c r="U13" s="1"/>
      <c r="V13" s="1"/>
      <c r="W13" s="1"/>
      <c r="X13" s="1"/>
      <c r="Y13" s="1"/>
      <c r="Z13" s="1"/>
    </row>
    <row r="14" spans="1:26" x14ac:dyDescent="0.35">
      <c r="A14" s="1"/>
      <c r="B14" s="33"/>
      <c r="C14" s="33"/>
      <c r="D14" s="43"/>
      <c r="E14" s="44"/>
      <c r="F14" s="7"/>
      <c r="G14" s="46">
        <f>D15-D13</f>
        <v>5</v>
      </c>
      <c r="H14" s="56">
        <f>(F15/F13)^(1/G14)-1</f>
        <v>2.708106719622605E-2</v>
      </c>
      <c r="I14" s="33"/>
      <c r="J14" s="33"/>
      <c r="K14" s="33"/>
      <c r="L14" s="33"/>
      <c r="M14" s="33"/>
      <c r="N14" s="33"/>
      <c r="O14" s="33"/>
      <c r="P14" s="1"/>
      <c r="Q14" s="1" t="str">
        <f>_xlfn.CONCAT(D21," to ",D23)</f>
        <v>2011 to 2016</v>
      </c>
      <c r="R14" s="59">
        <f>H22</f>
        <v>1.2652962499257736E-2</v>
      </c>
      <c r="S14" s="1"/>
      <c r="T14" s="1"/>
      <c r="U14" s="1"/>
      <c r="V14" s="1"/>
      <c r="W14" s="1"/>
      <c r="X14" s="1"/>
      <c r="Y14" s="1"/>
      <c r="Z14" s="1"/>
    </row>
    <row r="15" spans="1:26" x14ac:dyDescent="0.35">
      <c r="A15" s="1"/>
      <c r="B15" s="33"/>
      <c r="C15" s="33"/>
      <c r="D15" s="43">
        <v>1996</v>
      </c>
      <c r="E15" s="44"/>
      <c r="F15" s="7">
        <v>1831665</v>
      </c>
      <c r="H15" s="61"/>
      <c r="I15" s="33"/>
      <c r="J15" s="33"/>
      <c r="K15" s="33"/>
      <c r="L15" s="33"/>
      <c r="M15" s="33"/>
      <c r="N15" s="33"/>
      <c r="O15" s="33"/>
      <c r="P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5">
      <c r="A16" s="1"/>
      <c r="B16" s="33"/>
      <c r="C16" s="33"/>
      <c r="D16" s="43"/>
      <c r="E16" s="44"/>
      <c r="F16" s="7"/>
      <c r="G16" s="46">
        <f>D17-D15</f>
        <v>5</v>
      </c>
      <c r="H16" s="56">
        <f>(F17/F15)^(1/G16)-1</f>
        <v>1.6409777272678339E-2</v>
      </c>
      <c r="I16" s="33"/>
      <c r="J16" s="33"/>
      <c r="K16" s="33"/>
      <c r="L16" s="33"/>
      <c r="M16" s="33"/>
      <c r="N16" s="33"/>
      <c r="O16" s="3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5">
      <c r="A17" s="1"/>
      <c r="B17" s="33"/>
      <c r="C17" s="33"/>
      <c r="D17" s="43">
        <v>2001</v>
      </c>
      <c r="E17" s="44"/>
      <c r="F17" s="7">
        <v>1986965</v>
      </c>
      <c r="H17" s="61"/>
      <c r="I17" s="54" t="s">
        <v>65</v>
      </c>
      <c r="J17" s="33"/>
      <c r="K17" s="33"/>
      <c r="L17" s="33"/>
      <c r="M17" s="33"/>
      <c r="N17" s="33"/>
      <c r="O17" s="33"/>
      <c r="P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5">
      <c r="A18" s="1"/>
      <c r="B18" s="33"/>
      <c r="C18" s="33"/>
      <c r="D18" s="43"/>
      <c r="E18" s="44"/>
      <c r="F18" s="7"/>
      <c r="G18" s="46">
        <f>D19-D17</f>
        <v>5</v>
      </c>
      <c r="H18" s="56">
        <f>(F19/F17)^(1/G18)-1</f>
        <v>1.2718946837372958E-2</v>
      </c>
      <c r="I18" s="54"/>
      <c r="J18" s="33"/>
      <c r="K18" s="33"/>
      <c r="L18" s="33"/>
      <c r="M18" s="33"/>
      <c r="N18" s="33"/>
      <c r="O18" s="3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5">
      <c r="A19" s="1"/>
      <c r="B19" s="33"/>
      <c r="C19" s="33"/>
      <c r="D19" s="43">
        <v>2006</v>
      </c>
      <c r="E19" s="44"/>
      <c r="F19" s="7">
        <v>2116581</v>
      </c>
      <c r="H19" s="61"/>
      <c r="I19" s="54" t="s">
        <v>65</v>
      </c>
      <c r="J19" s="33"/>
      <c r="K19" s="33"/>
      <c r="L19" s="33"/>
      <c r="M19" s="33"/>
      <c r="N19" s="33"/>
      <c r="O19" s="33"/>
      <c r="P19" s="33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5">
      <c r="A20" s="1"/>
      <c r="B20" s="33"/>
      <c r="C20" s="33"/>
      <c r="D20" s="43"/>
      <c r="E20" s="44"/>
      <c r="F20" s="7"/>
      <c r="G20" s="46">
        <f>D21-D19</f>
        <v>5</v>
      </c>
      <c r="H20" s="56">
        <f>(F21/F19)^(1/G20)-1</f>
        <v>1.7935977703644079E-2</v>
      </c>
      <c r="I20" s="47"/>
      <c r="J20" s="33"/>
      <c r="K20" s="33"/>
      <c r="L20" s="33"/>
      <c r="M20" s="33"/>
      <c r="N20" s="33"/>
      <c r="O20" s="33"/>
      <c r="P20" s="33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5">
      <c r="A21" s="1"/>
      <c r="B21" s="33"/>
      <c r="C21" s="33"/>
      <c r="D21" s="43">
        <v>2011</v>
      </c>
      <c r="E21" s="44"/>
      <c r="F21" s="7">
        <v>2313328</v>
      </c>
      <c r="G21" s="46"/>
      <c r="H21" s="61"/>
      <c r="I21" s="54" t="s">
        <v>65</v>
      </c>
      <c r="J21" s="33"/>
      <c r="K21" s="33"/>
      <c r="L21" s="33"/>
      <c r="M21" s="33"/>
      <c r="N21" s="33"/>
      <c r="O21" s="33"/>
      <c r="P21" s="33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5">
      <c r="A22" s="1"/>
      <c r="B22" s="33"/>
      <c r="C22" s="33"/>
      <c r="D22" s="43"/>
      <c r="E22" s="44"/>
      <c r="F22" s="7"/>
      <c r="G22" s="46">
        <f>D23-D21</f>
        <v>5</v>
      </c>
      <c r="H22" s="56">
        <f>(F23/F21)^(1/G22)-1</f>
        <v>1.2652962499257736E-2</v>
      </c>
      <c r="I22" s="47"/>
      <c r="J22" s="33"/>
      <c r="K22" s="33"/>
      <c r="L22" s="33"/>
      <c r="M22" s="33"/>
      <c r="N22" s="33"/>
      <c r="O22" s="33"/>
      <c r="P22" s="33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5">
      <c r="A23" s="1"/>
      <c r="B23" s="33"/>
      <c r="C23" s="33"/>
      <c r="D23" s="43">
        <v>2016</v>
      </c>
      <c r="E23" s="44"/>
      <c r="F23" s="7">
        <v>2463431</v>
      </c>
      <c r="H23" s="56"/>
      <c r="I23" s="54" t="s">
        <v>65</v>
      </c>
      <c r="J23" s="33"/>
      <c r="K23" s="33"/>
      <c r="L23" s="33"/>
      <c r="M23" s="33"/>
      <c r="N23" s="33"/>
      <c r="O23" s="33"/>
      <c r="P23" s="33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5">
      <c r="A24" s="1"/>
      <c r="B24" s="33"/>
      <c r="C24" s="90" t="s">
        <v>60</v>
      </c>
      <c r="D24" s="48"/>
      <c r="E24" s="49"/>
      <c r="F24" s="50"/>
      <c r="G24" s="51">
        <f>D25-D23</f>
        <v>5</v>
      </c>
      <c r="H24" s="57">
        <f>(F25/F23)^(1/G24)-1</f>
        <v>2.5062800858570267E-2</v>
      </c>
      <c r="I24" s="47"/>
      <c r="J24" s="33"/>
      <c r="K24" s="33"/>
      <c r="L24" s="33"/>
      <c r="M24" s="33"/>
      <c r="N24" s="33"/>
      <c r="O24" s="33"/>
      <c r="P24" s="33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5">
      <c r="A25" s="1"/>
      <c r="B25" s="33"/>
      <c r="C25" s="91"/>
      <c r="D25" s="48">
        <v>2021</v>
      </c>
      <c r="E25" s="49" t="s">
        <v>59</v>
      </c>
      <c r="F25" s="52">
        <v>2788000</v>
      </c>
      <c r="G25" s="51"/>
      <c r="H25" s="57"/>
      <c r="I25" s="47" t="s">
        <v>54</v>
      </c>
      <c r="J25" s="33"/>
      <c r="K25" s="33"/>
      <c r="L25" s="33"/>
      <c r="M25" s="33"/>
      <c r="N25" s="33"/>
      <c r="O25" s="33"/>
      <c r="P25" s="33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5">
      <c r="A26" s="1"/>
      <c r="B26" s="33"/>
      <c r="C26" s="91"/>
      <c r="D26" s="48"/>
      <c r="E26" s="49"/>
      <c r="F26" s="4"/>
      <c r="G26" s="51">
        <f>D27-D25</f>
        <v>10</v>
      </c>
      <c r="H26" s="57">
        <f>(F27/F25)^(1/G26)-1</f>
        <v>1.2346868841063952E-2</v>
      </c>
      <c r="I26" s="33"/>
      <c r="J26" s="33"/>
      <c r="K26" s="33"/>
      <c r="L26" s="33"/>
      <c r="M26" s="33"/>
      <c r="N26" s="33"/>
      <c r="O26" s="33"/>
      <c r="P26" s="33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5">
      <c r="A27" s="1"/>
      <c r="B27" s="33"/>
      <c r="C27" s="91"/>
      <c r="D27" s="48">
        <v>2031</v>
      </c>
      <c r="E27" s="49" t="s">
        <v>59</v>
      </c>
      <c r="F27" s="52">
        <v>3152000</v>
      </c>
      <c r="G27" s="51"/>
      <c r="H27" s="58"/>
      <c r="I27" s="47" t="s">
        <v>54</v>
      </c>
      <c r="J27" s="33"/>
      <c r="K27" s="33"/>
      <c r="L27" s="33"/>
      <c r="M27" s="33"/>
      <c r="N27" s="33"/>
      <c r="O27" s="33"/>
      <c r="P27" s="33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5">
      <c r="A28" s="1"/>
      <c r="B28" s="33"/>
      <c r="C28" s="91"/>
      <c r="D28" s="48"/>
      <c r="E28" s="49"/>
      <c r="F28" s="4"/>
      <c r="G28" s="51">
        <f>D29-D27</f>
        <v>10</v>
      </c>
      <c r="H28" s="57">
        <f>(F29/F27)^(1/G28)-1</f>
        <v>8.8697060166573749E-3</v>
      </c>
      <c r="I28" s="33"/>
      <c r="J28" s="33"/>
      <c r="K28" s="33"/>
      <c r="L28" s="33"/>
      <c r="M28" s="33"/>
      <c r="N28" s="33"/>
      <c r="O28" s="33"/>
      <c r="P28" s="33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5">
      <c r="A29" s="1"/>
      <c r="B29" s="33"/>
      <c r="C29" s="92"/>
      <c r="D29" s="48">
        <v>2041</v>
      </c>
      <c r="E29" s="49" t="s">
        <v>59</v>
      </c>
      <c r="F29" s="52">
        <v>3443000</v>
      </c>
      <c r="G29" s="51"/>
      <c r="H29" s="58"/>
      <c r="I29" s="47" t="s">
        <v>54</v>
      </c>
      <c r="J29" s="33"/>
      <c r="K29" s="33"/>
      <c r="L29" s="33"/>
      <c r="M29" s="33"/>
      <c r="N29" s="33"/>
      <c r="O29" s="33"/>
      <c r="P29" s="33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5">
      <c r="A30" s="1"/>
      <c r="B30" s="33"/>
      <c r="C30" s="33"/>
      <c r="D30" s="43"/>
      <c r="E30" s="44"/>
      <c r="F30" s="6"/>
      <c r="G30" s="6"/>
      <c r="H30" s="62"/>
      <c r="I30" s="33"/>
      <c r="J30" s="33"/>
      <c r="K30" s="33"/>
      <c r="L30" s="33"/>
      <c r="M30" s="33"/>
      <c r="N30" s="33"/>
      <c r="O30" s="33"/>
      <c r="P30" s="33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5">
      <c r="A31" s="1"/>
      <c r="B31" s="33"/>
      <c r="C31" s="33"/>
      <c r="D31" s="9" t="s">
        <v>73</v>
      </c>
      <c r="E31" s="9"/>
      <c r="F31" s="9"/>
      <c r="G31" s="9"/>
      <c r="H31" s="55">
        <f>(F23/F11)^(1/(D23-D11))-1</f>
        <v>2.150499266942818E-2</v>
      </c>
      <c r="I31" s="33"/>
      <c r="J31" s="33"/>
      <c r="K31" s="33"/>
      <c r="L31" s="33"/>
      <c r="M31" s="33"/>
      <c r="N31" s="33"/>
      <c r="O31" s="33"/>
      <c r="P31" s="33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5">
      <c r="A32" s="1"/>
      <c r="B32" s="33"/>
      <c r="C32" s="33"/>
      <c r="D32" s="9" t="s">
        <v>72</v>
      </c>
      <c r="E32" s="9"/>
      <c r="F32" s="9"/>
      <c r="G32" s="9"/>
      <c r="H32" s="55">
        <f>(F23/F17)^(1/(D23-D17))-1</f>
        <v>1.4432946505399613E-2</v>
      </c>
      <c r="I32" s="33"/>
      <c r="J32" s="33"/>
      <c r="K32" s="33"/>
      <c r="L32" s="33"/>
      <c r="M32" s="33"/>
      <c r="N32" s="33"/>
      <c r="O32" s="33"/>
      <c r="P32" s="33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5">
      <c r="A33" s="1"/>
      <c r="B33" s="33"/>
      <c r="C33" s="33"/>
      <c r="D33" s="9"/>
      <c r="E33" s="9"/>
      <c r="F33" s="9"/>
      <c r="G33" s="9"/>
      <c r="H33" s="55"/>
      <c r="I33" s="33"/>
      <c r="J33" s="33"/>
      <c r="K33" s="33"/>
      <c r="L33" s="33"/>
      <c r="M33" s="33"/>
      <c r="N33" s="33"/>
      <c r="O33" s="33"/>
      <c r="P33" s="33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5">
      <c r="A34" s="1"/>
      <c r="B34" s="33"/>
      <c r="C34" s="33"/>
      <c r="D34" s="9" t="s">
        <v>70</v>
      </c>
      <c r="E34" s="9"/>
      <c r="F34" s="9"/>
      <c r="G34" s="9"/>
      <c r="H34" s="55">
        <f>MIN(H11:H23)</f>
        <v>1.2652962499257736E-2</v>
      </c>
      <c r="I34" s="33"/>
      <c r="J34" s="33"/>
      <c r="K34" s="33"/>
      <c r="L34" s="33"/>
      <c r="M34" s="33"/>
      <c r="N34" s="33"/>
      <c r="O34" s="33"/>
      <c r="P34" s="33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5">
      <c r="A35" s="1"/>
      <c r="B35" s="33"/>
      <c r="C35" s="33"/>
      <c r="D35" s="9" t="s">
        <v>71</v>
      </c>
      <c r="E35" s="9"/>
      <c r="F35" s="9"/>
      <c r="G35" s="9"/>
      <c r="H35" s="55">
        <f>MAX(H11:H23)</f>
        <v>3.1976791195668319E-2</v>
      </c>
      <c r="I35" s="33"/>
      <c r="J35" s="33"/>
      <c r="K35" s="33"/>
      <c r="L35" s="33"/>
      <c r="M35" s="33"/>
      <c r="N35" s="33"/>
      <c r="O35" s="33"/>
      <c r="P35" s="33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2" x14ac:dyDescent="0.65">
      <c r="A38" s="1"/>
      <c r="B38" s="1"/>
      <c r="C38" s="1"/>
      <c r="D38" s="2" t="s">
        <v>67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5">
      <c r="A39" s="1"/>
      <c r="B39" s="1"/>
      <c r="C39" s="1"/>
      <c r="D39" s="53" t="s">
        <v>66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5">
      <c r="A40" s="1"/>
      <c r="B40" s="1"/>
      <c r="C40" s="1"/>
      <c r="D40" s="1" t="str">
        <f>_xlfn.CONCAT("Forward looking population growth using the 2001 to 2011 annualized growth rate of ",TEXT(H32,"0.000%"))</f>
        <v>Forward looking population growth using the 2001 to 2011 annualized growth rate of 1.443%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5">
      <c r="A41" s="1"/>
      <c r="B41" s="1"/>
      <c r="C41" s="33"/>
      <c r="D41" s="93" t="s">
        <v>50</v>
      </c>
      <c r="E41" s="94"/>
      <c r="F41" s="41" t="s">
        <v>51</v>
      </c>
      <c r="G41" s="5" t="s">
        <v>56</v>
      </c>
      <c r="H41" s="5" t="s">
        <v>52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5">
      <c r="A42" s="1"/>
      <c r="B42" s="1"/>
      <c r="C42" s="33"/>
      <c r="D42" s="43">
        <v>2016</v>
      </c>
      <c r="E42" s="44"/>
      <c r="F42" s="7">
        <v>2463431</v>
      </c>
      <c r="H42" s="56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5">
      <c r="A43" s="1"/>
      <c r="B43" s="1"/>
      <c r="C43" s="90" t="s">
        <v>60</v>
      </c>
      <c r="D43" s="48"/>
      <c r="E43" s="49"/>
      <c r="F43" s="50"/>
      <c r="G43" s="51">
        <f>D44-D42</f>
        <v>5</v>
      </c>
      <c r="H43" s="57">
        <f>$H$32</f>
        <v>1.4432946505399613E-2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5">
      <c r="A44" s="1"/>
      <c r="B44" s="1"/>
      <c r="C44" s="91"/>
      <c r="D44" s="48">
        <v>2021</v>
      </c>
      <c r="E44" s="49" t="s">
        <v>59</v>
      </c>
      <c r="F44" s="52">
        <f>F42*(1+H43)^(D44-D42)</f>
        <v>2646410.0106928772</v>
      </c>
      <c r="G44" s="51"/>
      <c r="H44" s="5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5">
      <c r="A45" s="1"/>
      <c r="B45" s="1"/>
      <c r="C45" s="91"/>
      <c r="D45" s="48"/>
      <c r="E45" s="49"/>
      <c r="F45" s="4"/>
      <c r="G45" s="51">
        <f>D46-D44</f>
        <v>10</v>
      </c>
      <c r="H45" s="57">
        <f>$H$32</f>
        <v>1.4432946505399613E-2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5">
      <c r="A46" s="1"/>
      <c r="B46" s="1"/>
      <c r="C46" s="91"/>
      <c r="D46" s="48">
        <v>2031</v>
      </c>
      <c r="E46" s="49" t="s">
        <v>59</v>
      </c>
      <c r="F46" s="52">
        <f>F44*(1+H45)^(D46-D44)</f>
        <v>3054151.5787952994</v>
      </c>
      <c r="G46" s="51"/>
      <c r="H46" s="5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5">
      <c r="A47" s="1"/>
      <c r="B47" s="1"/>
      <c r="C47" s="91"/>
      <c r="D47" s="48"/>
      <c r="E47" s="49"/>
      <c r="F47" s="4"/>
      <c r="G47" s="51">
        <f>D48-D46</f>
        <v>10</v>
      </c>
      <c r="H47" s="57">
        <f>$H$32</f>
        <v>1.4432946505399613E-2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5">
      <c r="A48" s="1"/>
      <c r="B48" s="1"/>
      <c r="C48" s="92"/>
      <c r="D48" s="48">
        <v>2041</v>
      </c>
      <c r="E48" s="49" t="s">
        <v>59</v>
      </c>
      <c r="F48" s="52">
        <f>F46*(1+H47)^(D48-D46)</f>
        <v>3524715.3043437987</v>
      </c>
      <c r="G48" s="51"/>
      <c r="H48" s="5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5">
      <c r="A49" s="1"/>
      <c r="B49" s="1"/>
      <c r="C49" s="1"/>
      <c r="D49" s="1"/>
      <c r="E49" s="1"/>
      <c r="F49" s="1"/>
      <c r="G49" s="1"/>
      <c r="H49" s="5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5">
      <c r="A50" s="1"/>
      <c r="B50" s="1"/>
      <c r="C50" s="1"/>
      <c r="D50" s="53" t="s">
        <v>68</v>
      </c>
      <c r="E50" s="1"/>
      <c r="F50" s="1"/>
      <c r="G50" s="1"/>
      <c r="H50" s="5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5">
      <c r="A51" s="1"/>
      <c r="B51" s="1"/>
      <c r="C51" s="1"/>
      <c r="D51" s="1" t="str">
        <f>_xlfn.CONCAT("Forward looking population growth using the 2001 to 2011 annualized growth rate of ",TEXT(H31,"0.000%"))</f>
        <v>Forward looking population growth using the 2001 to 2011 annualized growth rate of 2.150%</v>
      </c>
      <c r="E51" s="1"/>
      <c r="F51" s="1"/>
      <c r="G51" s="1"/>
      <c r="H51" s="5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5">
      <c r="A52" s="1"/>
      <c r="B52" s="1"/>
      <c r="C52" s="33"/>
      <c r="D52" s="93" t="s">
        <v>50</v>
      </c>
      <c r="E52" s="94"/>
      <c r="F52" s="41" t="s">
        <v>51</v>
      </c>
      <c r="G52" s="5" t="s">
        <v>56</v>
      </c>
      <c r="H52" s="60" t="s">
        <v>52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5">
      <c r="A53" s="1"/>
      <c r="B53" s="1"/>
      <c r="C53" s="33"/>
      <c r="D53" s="43">
        <v>2016</v>
      </c>
      <c r="E53" s="44"/>
      <c r="F53" s="7">
        <v>2463431</v>
      </c>
      <c r="H53" s="56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5">
      <c r="A54" s="1"/>
      <c r="B54" s="1"/>
      <c r="C54" s="90" t="s">
        <v>60</v>
      </c>
      <c r="D54" s="48"/>
      <c r="E54" s="49"/>
      <c r="F54" s="50"/>
      <c r="G54" s="51">
        <f>D55-D53</f>
        <v>5</v>
      </c>
      <c r="H54" s="57">
        <f>$H$31</f>
        <v>2.150499266942818E-2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5">
      <c r="A55" s="1"/>
      <c r="B55" s="1"/>
      <c r="C55" s="91"/>
      <c r="D55" s="48">
        <v>2021</v>
      </c>
      <c r="E55" s="49" t="s">
        <v>59</v>
      </c>
      <c r="F55" s="52">
        <f>F53*(1+H54)^(D55-D53)</f>
        <v>2739951.4682588582</v>
      </c>
      <c r="G55" s="51"/>
      <c r="H55" s="5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5">
      <c r="A56" s="1"/>
      <c r="B56" s="1"/>
      <c r="C56" s="91"/>
      <c r="D56" s="48"/>
      <c r="E56" s="49"/>
      <c r="F56" s="4"/>
      <c r="G56" s="51">
        <f>D57-D55</f>
        <v>10</v>
      </c>
      <c r="H56" s="57">
        <f>$H$31</f>
        <v>2.150499266942818E-2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5">
      <c r="A57" s="1"/>
      <c r="B57" s="1"/>
      <c r="C57" s="91"/>
      <c r="D57" s="48">
        <v>2031</v>
      </c>
      <c r="E57" s="49" t="s">
        <v>59</v>
      </c>
      <c r="F57" s="52">
        <f>F55*(1+H56)^(D57-D55)</f>
        <v>3389594.9701688136</v>
      </c>
      <c r="G57" s="51"/>
      <c r="H57" s="58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5">
      <c r="A58" s="1"/>
      <c r="B58" s="1"/>
      <c r="C58" s="91"/>
      <c r="D58" s="48"/>
      <c r="E58" s="49"/>
      <c r="F58" s="4"/>
      <c r="G58" s="51">
        <f>D59-D57</f>
        <v>10</v>
      </c>
      <c r="H58" s="57">
        <f>$H$31</f>
        <v>2.150499266942818E-2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5">
      <c r="A59" s="1"/>
      <c r="B59" s="1"/>
      <c r="C59" s="92"/>
      <c r="D59" s="48">
        <v>2041</v>
      </c>
      <c r="E59" s="49" t="s">
        <v>59</v>
      </c>
      <c r="F59" s="52">
        <f>F57*(1+H58)^(D59-D57)</f>
        <v>4193269.1855650996</v>
      </c>
      <c r="G59" s="51"/>
      <c r="H59" s="58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</sheetData>
  <mergeCells count="6">
    <mergeCell ref="C54:C59"/>
    <mergeCell ref="D10:E10"/>
    <mergeCell ref="C24:C29"/>
    <mergeCell ref="D41:E41"/>
    <mergeCell ref="C43:C48"/>
    <mergeCell ref="D52:E52"/>
  </mergeCells>
  <hyperlinks>
    <hyperlink ref="I25" r:id="rId1" xr:uid="{D739679A-C365-4058-93C4-5C61E26502C7}"/>
    <hyperlink ref="I27" r:id="rId2" xr:uid="{E0D42A69-D902-4BBD-B3E3-794D76836F25}"/>
    <hyperlink ref="I29" r:id="rId3" xr:uid="{F116A5C7-AD97-47AE-8709-D55476272E31}"/>
    <hyperlink ref="I23" r:id="rId4" xr:uid="{30A960C6-601B-49B3-B80E-FC60D3A6ADCA}"/>
    <hyperlink ref="I21" r:id="rId5" xr:uid="{DE0B12F6-8048-48D1-B7BF-23AAB82233D4}"/>
    <hyperlink ref="I17" r:id="rId6" xr:uid="{D3168725-2E4D-4E20-99EB-D1275A37B2D6}"/>
    <hyperlink ref="I19" r:id="rId7" xr:uid="{3AB2158D-3F45-464F-8783-A0388966048F}"/>
  </hyperlinks>
  <pageMargins left="0.7" right="0.7" top="0.75" bottom="0.75" header="0.3" footer="0.3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Unmet Demand Forecast</vt:lpstr>
      <vt:lpstr>Population Growth Analysis</vt:lpstr>
    </vt:vector>
  </TitlesOfParts>
  <Company>Mortgage Sandbox Advisor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Latent Demand</dc:subject>
  <dc:creator>David Stroud</dc:creator>
  <cp:keywords>Supply Myth Latent Demand</cp:keywords>
  <cp:lastModifiedBy>David Stroud</cp:lastModifiedBy>
  <cp:lastPrinted>2018-06-17T01:06:13Z</cp:lastPrinted>
  <dcterms:created xsi:type="dcterms:W3CDTF">2018-06-13T16:51:30Z</dcterms:created>
  <dcterms:modified xsi:type="dcterms:W3CDTF">2018-09-24T07:16:54Z</dcterms:modified>
</cp:coreProperties>
</file>